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hidePivotFieldList="1" defaultThemeVersion="124226"/>
  <mc:AlternateContent xmlns:mc="http://schemas.openxmlformats.org/markup-compatibility/2006">
    <mc:Choice Requires="x15">
      <x15ac:absPath xmlns:x15ac="http://schemas.microsoft.com/office/spreadsheetml/2010/11/ac" url="C:\Users\cec024\Desktop\"/>
    </mc:Choice>
  </mc:AlternateContent>
  <xr:revisionPtr revIDLastSave="0" documentId="8_{40F0FD0C-5067-4295-9FFE-4BDB33695CB6}" xr6:coauthVersionLast="47" xr6:coauthVersionMax="47" xr10:uidLastSave="{00000000-0000-0000-0000-000000000000}"/>
  <bookViews>
    <workbookView xWindow="-120" yWindow="-120" windowWidth="29040" windowHeight="15720" firstSheet="1" activeTab="2" xr2:uid="{00000000-000D-0000-FFFF-FFFF00000000}"/>
  </bookViews>
  <sheets>
    <sheet name="Savings Estimator" sheetId="6" state="hidden" r:id="rId1"/>
    <sheet name="Instructions" sheetId="5" r:id="rId2"/>
    <sheet name="Payer Mix Worksheet" sheetId="3" r:id="rId3"/>
    <sheet name="Pentacel Vaxelis Conversion" sheetId="9" state="hidden" r:id="rId4"/>
    <sheet name="Pediarix Vaxelis Conversion" sheetId="10" state="hidden" r:id="rId5"/>
    <sheet name="Pricing Tables" sheetId="11" state="hidden" r:id="rId6"/>
    <sheet name="Footnotes" sheetId="2"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1" l="1"/>
  <c r="G30" i="11" s="1"/>
  <c r="D29" i="11"/>
  <c r="G29" i="11" s="1"/>
  <c r="D28" i="11"/>
  <c r="G28" i="11" s="1"/>
  <c r="D27" i="11"/>
  <c r="G27" i="11" s="1"/>
  <c r="D26" i="11"/>
  <c r="G26" i="11" s="1"/>
  <c r="D25" i="11"/>
  <c r="G25" i="11" s="1"/>
  <c r="D24" i="11"/>
  <c r="G24" i="11" s="1"/>
  <c r="D23" i="11"/>
  <c r="G23" i="11" s="1"/>
  <c r="D22" i="11"/>
  <c r="G22" i="11" s="1"/>
  <c r="D21" i="11"/>
  <c r="G21" i="11" s="1"/>
  <c r="D20" i="11"/>
  <c r="G20" i="11" s="1"/>
  <c r="D19" i="11"/>
  <c r="G19" i="11" s="1"/>
  <c r="D18" i="11"/>
  <c r="G18" i="11" s="1"/>
  <c r="K64" i="3"/>
  <c r="G63" i="11"/>
  <c r="D60" i="11"/>
  <c r="G60" i="11" s="1"/>
  <c r="D15" i="11"/>
  <c r="K46" i="3" s="1"/>
  <c r="K56" i="3"/>
  <c r="K50" i="3"/>
  <c r="K41" i="3"/>
  <c r="D52" i="11"/>
  <c r="G52" i="11" s="1"/>
  <c r="G74" i="11"/>
  <c r="K65" i="3"/>
  <c r="K63" i="3"/>
  <c r="K62" i="3"/>
  <c r="K61" i="3"/>
  <c r="K60" i="3"/>
  <c r="K59" i="3"/>
  <c r="K58" i="3"/>
  <c r="K57" i="3"/>
  <c r="K85" i="3"/>
  <c r="K86" i="3"/>
  <c r="K87" i="3"/>
  <c r="K88" i="3"/>
  <c r="K89" i="3"/>
  <c r="K90" i="3"/>
  <c r="K91" i="3"/>
  <c r="K92" i="3"/>
  <c r="D73" i="11"/>
  <c r="D72" i="11"/>
  <c r="G72" i="11" s="1"/>
  <c r="D66" i="11"/>
  <c r="K6" i="3"/>
  <c r="K55" i="3"/>
  <c r="K54" i="3"/>
  <c r="K53" i="3"/>
  <c r="K52" i="3"/>
  <c r="K51" i="3"/>
  <c r="K49" i="3"/>
  <c r="K48" i="3"/>
  <c r="K47" i="3"/>
  <c r="K45" i="3"/>
  <c r="K44" i="3"/>
  <c r="K43" i="3"/>
  <c r="K42"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I4" i="3"/>
  <c r="I6" i="3" s="1"/>
  <c r="I64" i="3" l="1"/>
  <c r="G15" i="11"/>
  <c r="I45" i="3"/>
  <c r="I56" i="3"/>
  <c r="I46" i="3"/>
  <c r="I50" i="3"/>
  <c r="I57" i="3"/>
  <c r="I58" i="3"/>
  <c r="G73" i="11"/>
  <c r="I7" i="3"/>
  <c r="I65" i="3"/>
  <c r="I60" i="3"/>
  <c r="I63" i="3"/>
  <c r="I48" i="3"/>
  <c r="I61" i="3"/>
  <c r="I59" i="3"/>
  <c r="I54" i="3"/>
  <c r="I51" i="3"/>
  <c r="I49" i="3"/>
  <c r="I41" i="3"/>
  <c r="I53" i="3"/>
  <c r="I8" i="3"/>
  <c r="I62" i="3"/>
  <c r="I52" i="3"/>
  <c r="I47" i="3"/>
  <c r="I44" i="3"/>
  <c r="I55" i="3"/>
  <c r="G68" i="11"/>
  <c r="G67" i="11"/>
  <c r="G66" i="11" l="1"/>
  <c r="D69" i="11"/>
  <c r="D70" i="11"/>
  <c r="D71" i="11"/>
  <c r="D51" i="11"/>
  <c r="D56" i="11"/>
  <c r="D55" i="11"/>
  <c r="D47" i="11"/>
  <c r="D48" i="11"/>
  <c r="D49" i="11"/>
  <c r="D50" i="11"/>
  <c r="D42" i="11"/>
  <c r="G42" i="11" s="1"/>
  <c r="D41" i="11"/>
  <c r="D92" i="11"/>
  <c r="D79" i="11"/>
  <c r="D80" i="11"/>
  <c r="D81" i="11"/>
  <c r="D82" i="11"/>
  <c r="D83" i="11"/>
  <c r="D84" i="11"/>
  <c r="D85" i="11"/>
  <c r="D86" i="11"/>
  <c r="D87" i="11"/>
  <c r="D88" i="11"/>
  <c r="D89" i="11"/>
  <c r="D90" i="11"/>
  <c r="D91" i="11"/>
  <c r="D78" i="11"/>
  <c r="D46" i="11"/>
  <c r="D34" i="11"/>
  <c r="D33" i="11"/>
  <c r="D35" i="11"/>
  <c r="D36" i="11"/>
  <c r="D37" i="11"/>
  <c r="D38" i="11"/>
  <c r="D39" i="11"/>
  <c r="D40" i="11"/>
  <c r="D43" i="11"/>
  <c r="D4" i="11"/>
  <c r="D3" i="11"/>
  <c r="D5" i="11"/>
  <c r="D6" i="11"/>
  <c r="D7" i="11"/>
  <c r="D8" i="11"/>
  <c r="D9" i="11"/>
  <c r="D10" i="11"/>
  <c r="D11" i="11"/>
  <c r="D12" i="11"/>
  <c r="D13" i="11"/>
  <c r="D14" i="11"/>
  <c r="G55" i="11" l="1"/>
  <c r="G56" i="11"/>
  <c r="G50" i="11"/>
  <c r="G41" i="11"/>
  <c r="G33" i="11"/>
  <c r="G69" i="11"/>
  <c r="G3" i="11"/>
  <c r="G40" i="11"/>
  <c r="G36" i="11"/>
  <c r="G11" i="11"/>
  <c r="G6" i="11"/>
  <c r="G39" i="11"/>
  <c r="G49" i="11"/>
  <c r="G5" i="11"/>
  <c r="G38" i="11"/>
  <c r="G48" i="11"/>
  <c r="G4" i="11"/>
  <c r="G37" i="11"/>
  <c r="G47" i="11"/>
  <c r="G43" i="11"/>
  <c r="G35" i="11"/>
  <c r="G34" i="11"/>
  <c r="G14" i="11"/>
  <c r="G46" i="11"/>
  <c r="G13" i="11"/>
  <c r="G12" i="11"/>
  <c r="G10" i="11"/>
  <c r="G9" i="11"/>
  <c r="G8" i="11"/>
  <c r="G7" i="11"/>
  <c r="G51" i="11"/>
  <c r="I4" i="9" l="1"/>
  <c r="J4" i="9" s="1"/>
  <c r="S5" i="9"/>
  <c r="T5" i="9" s="1"/>
  <c r="S3" i="10"/>
  <c r="T3" i="10" s="1"/>
  <c r="I6" i="10"/>
  <c r="N7" i="9"/>
  <c r="N7" i="10" s="1"/>
  <c r="O7" i="10" s="1"/>
  <c r="R7" i="10"/>
  <c r="R5" i="10" s="1"/>
  <c r="M7" i="10"/>
  <c r="M5" i="10"/>
  <c r="S5" i="10"/>
  <c r="M4" i="10"/>
  <c r="R4" i="10" s="1"/>
  <c r="M3" i="10"/>
  <c r="H7" i="10"/>
  <c r="H6" i="10" s="1"/>
  <c r="H3" i="10"/>
  <c r="H4" i="10"/>
  <c r="I7" i="10"/>
  <c r="E7" i="10"/>
  <c r="R4" i="9"/>
  <c r="R3" i="9"/>
  <c r="H6" i="9"/>
  <c r="H3" i="9" s="1"/>
  <c r="R6" i="9"/>
  <c r="R5" i="9"/>
  <c r="M4" i="9"/>
  <c r="H4" i="9"/>
  <c r="R7" i="9"/>
  <c r="M7" i="9"/>
  <c r="H7" i="9"/>
  <c r="I7" i="9"/>
  <c r="J7" i="9" s="1"/>
  <c r="E7" i="9"/>
  <c r="M6" i="9"/>
  <c r="M3" i="9"/>
  <c r="M5" i="9"/>
  <c r="H5" i="9"/>
  <c r="E86" i="3"/>
  <c r="F86" i="3"/>
  <c r="G86" i="3"/>
  <c r="H86" i="3"/>
  <c r="D86" i="3"/>
  <c r="C5" i="6"/>
  <c r="D5" i="6" s="1"/>
  <c r="E5" i="6"/>
  <c r="M6" i="10"/>
  <c r="S4" i="10"/>
  <c r="T4" i="10" s="1"/>
  <c r="I15" i="3" l="1"/>
  <c r="S7" i="9"/>
  <c r="S7" i="10" s="1"/>
  <c r="T7" i="10" s="1"/>
  <c r="I87" i="3"/>
  <c r="I24" i="3"/>
  <c r="I13" i="3"/>
  <c r="I43" i="3"/>
  <c r="I30" i="3"/>
  <c r="I25" i="3"/>
  <c r="I10" i="3"/>
  <c r="I12" i="3"/>
  <c r="I27" i="3"/>
  <c r="I19" i="3"/>
  <c r="I22" i="3"/>
  <c r="I35" i="3"/>
  <c r="I92" i="3"/>
  <c r="I31" i="3"/>
  <c r="I88" i="3"/>
  <c r="I34" i="3"/>
  <c r="I9" i="3"/>
  <c r="I38" i="3"/>
  <c r="I39" i="3"/>
  <c r="O7" i="9"/>
  <c r="I5" i="10"/>
  <c r="N3" i="10"/>
  <c r="O3" i="10" s="1"/>
  <c r="I3" i="9"/>
  <c r="J3" i="9" s="1"/>
  <c r="N3" i="9"/>
  <c r="O3" i="9" s="1"/>
  <c r="D3" i="9"/>
  <c r="E3" i="9" s="1"/>
  <c r="N6" i="9"/>
  <c r="O6" i="9" s="1"/>
  <c r="I6" i="9"/>
  <c r="J6" i="9" s="1"/>
  <c r="D6" i="9"/>
  <c r="E6" i="9" s="1"/>
  <c r="S6" i="9"/>
  <c r="T6" i="9" s="1"/>
  <c r="N4" i="10"/>
  <c r="O4" i="10" s="1"/>
  <c r="H5" i="10"/>
  <c r="J6" i="10"/>
  <c r="R6" i="10"/>
  <c r="I28" i="3"/>
  <c r="I23" i="3"/>
  <c r="I90" i="3"/>
  <c r="I37" i="3"/>
  <c r="I18" i="3"/>
  <c r="S3" i="9"/>
  <c r="T3" i="9" s="1"/>
  <c r="I33" i="3"/>
  <c r="I40" i="3"/>
  <c r="I89" i="3"/>
  <c r="I20" i="3"/>
  <c r="I16" i="3"/>
  <c r="I17" i="3"/>
  <c r="I29" i="3"/>
  <c r="I11" i="3"/>
  <c r="I32" i="3"/>
  <c r="I42" i="3"/>
  <c r="J7" i="10"/>
  <c r="N5" i="10"/>
  <c r="O5" i="10" s="1"/>
  <c r="I21" i="3"/>
  <c r="I36" i="3"/>
  <c r="I14" i="3"/>
  <c r="I26" i="3"/>
  <c r="I91" i="3"/>
  <c r="T5" i="10"/>
  <c r="I5" i="9"/>
  <c r="J5" i="9" s="1"/>
  <c r="N5" i="9"/>
  <c r="O5" i="9" s="1"/>
  <c r="F5" i="6"/>
  <c r="I4" i="10"/>
  <c r="J4" i="10" s="1"/>
  <c r="D4" i="10"/>
  <c r="E4" i="10" s="1"/>
  <c r="S4" i="9"/>
  <c r="T4" i="9" s="1"/>
  <c r="N4" i="9"/>
  <c r="O4" i="9" s="1"/>
  <c r="D4" i="9"/>
  <c r="E4" i="9" s="1"/>
  <c r="S6" i="10"/>
  <c r="T6" i="10" s="1"/>
  <c r="N6" i="10"/>
  <c r="O6" i="10" s="1"/>
  <c r="D6" i="10"/>
  <c r="E6" i="10" s="1"/>
  <c r="D3" i="10"/>
  <c r="E3" i="10" s="1"/>
  <c r="D5" i="10"/>
  <c r="E5" i="10" s="1"/>
  <c r="I3" i="10"/>
  <c r="J3" i="10" s="1"/>
  <c r="D5" i="9"/>
  <c r="E5" i="9" s="1"/>
  <c r="T7" i="9" l="1"/>
  <c r="O9" i="10"/>
  <c r="J5" i="10"/>
  <c r="J9" i="10" s="1"/>
  <c r="T9" i="10"/>
  <c r="T9" i="9"/>
  <c r="J9" i="9"/>
  <c r="O9" i="9"/>
  <c r="E9" i="9"/>
  <c r="E9" i="10"/>
  <c r="O10" i="10" l="1"/>
  <c r="O11" i="10" s="1"/>
  <c r="T10" i="9"/>
  <c r="T11" i="9" s="1"/>
  <c r="J10" i="9"/>
  <c r="J11" i="9" s="1"/>
  <c r="O10" i="9"/>
  <c r="O11" i="9" s="1"/>
  <c r="J10" i="10"/>
  <c r="J11" i="10" s="1"/>
  <c r="T10" i="10"/>
  <c r="T11" i="10" s="1"/>
</calcChain>
</file>

<file path=xl/sharedStrings.xml><?xml version="1.0" encoding="utf-8"?>
<sst xmlns="http://schemas.openxmlformats.org/spreadsheetml/2006/main" count="492" uniqueCount="229">
  <si>
    <t>Pediarix</t>
  </si>
  <si>
    <t>Infanrix</t>
  </si>
  <si>
    <t>Kinrix</t>
  </si>
  <si>
    <t>Rotarix</t>
  </si>
  <si>
    <t>Boostrix</t>
  </si>
  <si>
    <t>IPOL</t>
  </si>
  <si>
    <t>Vaccine</t>
  </si>
  <si>
    <t>Brand</t>
  </si>
  <si>
    <t>MMR</t>
  </si>
  <si>
    <t>MMR/Varicella</t>
  </si>
  <si>
    <t>ProQuad</t>
  </si>
  <si>
    <t>Varicella</t>
  </si>
  <si>
    <t>Varivax</t>
  </si>
  <si>
    <t>Rotavirus</t>
  </si>
  <si>
    <t>RotaTeq</t>
  </si>
  <si>
    <t>HepA</t>
  </si>
  <si>
    <t>Vaqta (peds)</t>
  </si>
  <si>
    <t>Havrix (peds)</t>
  </si>
  <si>
    <t>Vaqta (adult)</t>
  </si>
  <si>
    <t>Havrix (adult)</t>
  </si>
  <si>
    <t>HepB</t>
  </si>
  <si>
    <t>Recombivax (peds)</t>
  </si>
  <si>
    <t>Engerix (peds)</t>
  </si>
  <si>
    <t>Recombivax (adult)</t>
  </si>
  <si>
    <t>Engerix (adult)</t>
  </si>
  <si>
    <t>HepA &amp; HepB</t>
  </si>
  <si>
    <t>Twinrix</t>
  </si>
  <si>
    <t>DTaP, IPOL, HepB</t>
  </si>
  <si>
    <t>Menveo</t>
  </si>
  <si>
    <t>DTaP, IPOL, Hib</t>
  </si>
  <si>
    <t>Pentacel</t>
  </si>
  <si>
    <t>Hib</t>
  </si>
  <si>
    <t>ActHIB</t>
  </si>
  <si>
    <t>DTaP &amp; IPOL</t>
  </si>
  <si>
    <t>Daptacel</t>
  </si>
  <si>
    <t>Tetanus &amp; Diptheria</t>
  </si>
  <si>
    <t>Tenivac (Decavac)</t>
  </si>
  <si>
    <t>TDaP</t>
  </si>
  <si>
    <t>PPSV23</t>
  </si>
  <si>
    <t>Pneumovax</t>
  </si>
  <si>
    <t>Zoster</t>
  </si>
  <si>
    <t>PedvaxHIB</t>
  </si>
  <si>
    <t>CPT Code</t>
  </si>
  <si>
    <r>
      <rPr>
        <vertAlign val="superscript"/>
        <sz val="11"/>
        <color indexed="8"/>
        <rFont val="Calibri"/>
        <family val="2"/>
      </rPr>
      <t>2</t>
    </r>
    <r>
      <rPr>
        <sz val="11"/>
        <color theme="1"/>
        <rFont val="Calibri"/>
        <family val="2"/>
        <scheme val="minor"/>
      </rPr>
      <t xml:space="preserve">  Prevnar is not included in the CPP program.  Member will purchase doses as they do today.</t>
    </r>
  </si>
  <si>
    <r>
      <rPr>
        <vertAlign val="superscript"/>
        <sz val="11"/>
        <color indexed="8"/>
        <rFont val="Calibri"/>
        <family val="2"/>
      </rPr>
      <t>3</t>
    </r>
    <r>
      <rPr>
        <sz val="11"/>
        <color theme="1"/>
        <rFont val="Calibri"/>
        <family val="2"/>
        <scheme val="minor"/>
      </rPr>
      <t xml:space="preserve">  CPP doses include both RotaTeq and Rotarix totals.  Rotarix totals are increased by 50% to account for the 3-dose series required for RotaTeq.</t>
    </r>
  </si>
  <si>
    <t>Adacel</t>
  </si>
  <si>
    <r>
      <rPr>
        <vertAlign val="superscript"/>
        <sz val="11"/>
        <color indexed="8"/>
        <rFont val="Calibri"/>
        <family val="2"/>
      </rPr>
      <t>1</t>
    </r>
    <r>
      <rPr>
        <sz val="11"/>
        <color theme="1"/>
        <rFont val="Calibri"/>
        <family val="2"/>
        <scheme val="minor"/>
      </rPr>
      <t xml:space="preserve"> Current Profit / (Loss) based on dose volume, pricing and reimbursement per CPT code provided by potential member.</t>
    </r>
  </si>
  <si>
    <r>
      <rPr>
        <vertAlign val="superscript"/>
        <sz val="11"/>
        <color indexed="8"/>
        <rFont val="Calibri"/>
        <family val="2"/>
      </rPr>
      <t xml:space="preserve">8 </t>
    </r>
    <r>
      <rPr>
        <sz val="11"/>
        <color theme="1"/>
        <rFont val="Calibri"/>
        <family val="2"/>
        <scheme val="minor"/>
      </rPr>
      <t xml:space="preserve"> CPP doses include Pentacel and Pediarix dose totals.</t>
    </r>
  </si>
  <si>
    <r>
      <rPr>
        <vertAlign val="superscript"/>
        <sz val="11"/>
        <color indexed="8"/>
        <rFont val="Calibri"/>
        <family val="2"/>
      </rPr>
      <t>10</t>
    </r>
    <r>
      <rPr>
        <sz val="11"/>
        <color theme="1"/>
        <rFont val="Calibri"/>
        <family val="2"/>
        <scheme val="minor"/>
      </rPr>
      <t xml:space="preserve"> CPP doses include Daptacel, Infanrix and Kinrix dose totals.</t>
    </r>
  </si>
  <si>
    <r>
      <rPr>
        <vertAlign val="superscript"/>
        <sz val="11"/>
        <color indexed="8"/>
        <rFont val="Calibri"/>
        <family val="2"/>
      </rPr>
      <t>11</t>
    </r>
    <r>
      <rPr>
        <sz val="11"/>
        <color theme="1"/>
        <rFont val="Calibri"/>
        <family val="2"/>
        <scheme val="minor"/>
      </rPr>
      <t xml:space="preserve"> CPP doses include IPOL and Kinrix dose totals.</t>
    </r>
  </si>
  <si>
    <r>
      <rPr>
        <vertAlign val="superscript"/>
        <sz val="11"/>
        <color indexed="8"/>
        <rFont val="Calibri"/>
        <family val="2"/>
      </rPr>
      <t>12</t>
    </r>
    <r>
      <rPr>
        <sz val="11"/>
        <color theme="1"/>
        <rFont val="Calibri"/>
        <family val="2"/>
        <scheme val="minor"/>
      </rPr>
      <t xml:space="preserve"> CPP doses include Adacel and Boostrix dose totals.</t>
    </r>
  </si>
  <si>
    <r>
      <rPr>
        <vertAlign val="superscript"/>
        <sz val="11"/>
        <color indexed="8"/>
        <rFont val="Calibri"/>
        <family val="2"/>
      </rPr>
      <t>15</t>
    </r>
    <r>
      <rPr>
        <sz val="11"/>
        <color theme="1"/>
        <rFont val="Calibri"/>
        <family val="2"/>
        <scheme val="minor"/>
      </rPr>
      <t xml:space="preserve"> CPP price assumes member takes advantage of all available discounts through the manufacturer (i.e. prompt pay discounts, online ordering, etc.).</t>
    </r>
  </si>
  <si>
    <t>Annual Cost</t>
  </si>
  <si>
    <t>Footnotes:</t>
  </si>
  <si>
    <t>Payer 4 Name</t>
  </si>
  <si>
    <t>Payer 5 Name</t>
  </si>
  <si>
    <t>% payer mix</t>
  </si>
  <si>
    <t>Step 1</t>
  </si>
  <si>
    <t>Go to Payer Mix Worksheet</t>
  </si>
  <si>
    <t>Payer Mix Worksheet</t>
  </si>
  <si>
    <t>Instructions to Complete Financial Analysis</t>
  </si>
  <si>
    <t>CPP Best Price</t>
  </si>
  <si>
    <t>CDC Private Sector 
Cost per Dose</t>
  </si>
  <si>
    <t>Enter Your Average 
Cost per Dose</t>
  </si>
  <si>
    <t>Cost Savings Estimator</t>
  </si>
  <si>
    <t>CPP Best 
Price per Dose</t>
  </si>
  <si>
    <t>CDC Private Sector</t>
  </si>
  <si>
    <t>Complete the full financial analysis by going to the instructions sheet.</t>
  </si>
  <si>
    <t xml:space="preserve"> Approximate 
CPP % Savings Compared to Current 
Cost per Dose</t>
  </si>
  <si>
    <t xml:space="preserve"> Approximate 
CPP % Savings Compared to Private Sector Cost per Dose</t>
  </si>
  <si>
    <t>Enter</t>
  </si>
  <si>
    <t>Automatic Feed</t>
  </si>
  <si>
    <t>Calculation</t>
  </si>
  <si>
    <t>Action:</t>
  </si>
  <si>
    <t>Select a Vaccine from 
the Dropdown Box</t>
  </si>
  <si>
    <t xml:space="preserve">Enter </t>
  </si>
  <si>
    <t>CPP Contracted Price</t>
  </si>
  <si>
    <t>Difference</t>
  </si>
  <si>
    <t>Gardasil 9</t>
  </si>
  <si>
    <t>Quadracel</t>
  </si>
  <si>
    <t>90696</t>
  </si>
  <si>
    <t>90651</t>
  </si>
  <si>
    <t>Havrix (Peds)</t>
  </si>
  <si>
    <t>Havrix (Adult)</t>
  </si>
  <si>
    <t>Engerix (Peds)</t>
  </si>
  <si>
    <t>Engerix (Adult)</t>
  </si>
  <si>
    <t>Bexsero</t>
  </si>
  <si>
    <t>Trumenba</t>
  </si>
  <si>
    <t>Pfizer</t>
  </si>
  <si>
    <t>GSK</t>
  </si>
  <si>
    <t>GSK Private Sector List Price</t>
  </si>
  <si>
    <t>Meningococcal ACWY</t>
  </si>
  <si>
    <t>Meningococcal B</t>
  </si>
  <si>
    <t>Vaccine Administration</t>
  </si>
  <si>
    <t>Thru 18 years, with counseling</t>
  </si>
  <si>
    <t>1st Component</t>
  </si>
  <si>
    <t>Add'l Component</t>
  </si>
  <si>
    <t>1st Injection</t>
  </si>
  <si>
    <t>Add'l Injection</t>
  </si>
  <si>
    <t>Thru 18 years, no counseling; over 19 years</t>
  </si>
  <si>
    <t>1st Oral/Intranasal</t>
  </si>
  <si>
    <t>Add'l Oral/Intranasal</t>
  </si>
  <si>
    <t>Average Reimburse-ment per Code</t>
  </si>
  <si>
    <t xml:space="preserve"> * CPP Best Price includes manufacturer discounts and CPP Rebate.</t>
  </si>
  <si>
    <t>Hiberix</t>
  </si>
  <si>
    <t>GSK Enhanced Contract</t>
  </si>
  <si>
    <t>Pneumovax 23</t>
  </si>
  <si>
    <t>Benchmark: CDC List Price + 25%</t>
  </si>
  <si>
    <t>Enter up to 5 different payer names in Row 3.</t>
  </si>
  <si>
    <t>Enter % payer mix for each of the respective payers in Row 4.</t>
  </si>
  <si>
    <r>
      <rPr>
        <vertAlign val="superscript"/>
        <sz val="11"/>
        <color indexed="8"/>
        <rFont val="Calibri"/>
        <family val="2"/>
      </rPr>
      <t xml:space="preserve">4 </t>
    </r>
    <r>
      <rPr>
        <sz val="11"/>
        <color theme="1"/>
        <rFont val="Calibri"/>
        <family val="2"/>
        <scheme val="minor"/>
      </rPr>
      <t xml:space="preserve"> CPP doses Vaqta (peds) and Havrix (peds) dose totals.</t>
    </r>
  </si>
  <si>
    <r>
      <rPr>
        <vertAlign val="superscript"/>
        <sz val="11"/>
        <color indexed="8"/>
        <rFont val="Calibri"/>
        <family val="2"/>
      </rPr>
      <t xml:space="preserve">5 </t>
    </r>
    <r>
      <rPr>
        <sz val="11"/>
        <color theme="1"/>
        <rFont val="Calibri"/>
        <family val="2"/>
        <scheme val="minor"/>
      </rPr>
      <t xml:space="preserve"> CPP doses Vaqta (adult), Havrix (adult) and Twinrix dose totals.</t>
    </r>
  </si>
  <si>
    <r>
      <rPr>
        <vertAlign val="superscript"/>
        <sz val="11"/>
        <color indexed="8"/>
        <rFont val="Calibri"/>
        <family val="2"/>
      </rPr>
      <t xml:space="preserve">6 </t>
    </r>
    <r>
      <rPr>
        <sz val="11"/>
        <color theme="1"/>
        <rFont val="Calibri"/>
        <family val="2"/>
        <scheme val="minor"/>
      </rPr>
      <t xml:space="preserve"> CPP doses include Recombivax (peds), Engerix (peds), and Pediarix dose totals.</t>
    </r>
  </si>
  <si>
    <r>
      <rPr>
        <vertAlign val="superscript"/>
        <sz val="11"/>
        <color indexed="8"/>
        <rFont val="Calibri"/>
        <family val="2"/>
      </rPr>
      <t xml:space="preserve">7 </t>
    </r>
    <r>
      <rPr>
        <sz val="11"/>
        <color theme="1"/>
        <rFont val="Calibri"/>
        <family val="2"/>
        <scheme val="minor"/>
      </rPr>
      <t xml:space="preserve"> CPP doses include Recombivax (adult), Engerix (adult) and Twinrix dose totals.</t>
    </r>
  </si>
  <si>
    <r>
      <rPr>
        <vertAlign val="superscript"/>
        <sz val="11"/>
        <color indexed="8"/>
        <rFont val="Calibri"/>
        <family val="2"/>
      </rPr>
      <t>9</t>
    </r>
    <r>
      <rPr>
        <sz val="11"/>
        <color theme="1"/>
        <rFont val="Calibri"/>
        <family val="2"/>
        <scheme val="minor"/>
      </rPr>
      <t xml:space="preserve"> CPP doses include ActHIB, PedVaxHIB, Hiberix and subtracts out total Pediarix doses.</t>
    </r>
  </si>
  <si>
    <t>HPV</t>
  </si>
  <si>
    <r>
      <rPr>
        <vertAlign val="superscript"/>
        <sz val="11"/>
        <color indexed="8"/>
        <rFont val="Calibri"/>
        <family val="2"/>
      </rPr>
      <t>14</t>
    </r>
    <r>
      <rPr>
        <sz val="11"/>
        <color theme="1"/>
        <rFont val="Calibri"/>
        <family val="2"/>
        <scheme val="minor"/>
      </rPr>
      <t xml:space="preserve"> CPP doses include Trumenba and Bexsero dose totals.</t>
    </r>
  </si>
  <si>
    <t>A.</t>
  </si>
  <si>
    <t>B.</t>
  </si>
  <si>
    <t>C.</t>
  </si>
  <si>
    <t>Prompt Pay + Rebate</t>
  </si>
  <si>
    <t>Tenivac</t>
  </si>
  <si>
    <t>Shingrix</t>
  </si>
  <si>
    <t>Dynavax</t>
  </si>
  <si>
    <r>
      <rPr>
        <vertAlign val="superscript"/>
        <sz val="11"/>
        <color indexed="8"/>
        <rFont val="Calibri"/>
        <family val="2"/>
      </rPr>
      <t>16</t>
    </r>
    <r>
      <rPr>
        <sz val="11"/>
        <color theme="1"/>
        <rFont val="Calibri"/>
        <family val="2"/>
        <scheme val="minor"/>
      </rPr>
      <t xml:space="preserve"> Shingrix doses include Shingrix plus 2x number of Zostavax doses, assuming all patients will be converted.  Shingrix is no included in the CPP program.  Member will purchase doses at the list price.</t>
    </r>
  </si>
  <si>
    <t>MenQuadfi</t>
  </si>
  <si>
    <t>Vaxelis</t>
  </si>
  <si>
    <t>DTaP, IPOL, Hib, HepB</t>
  </si>
  <si>
    <t>Current  Vaccine Portfolio</t>
  </si>
  <si>
    <t>Cost per Dose</t>
  </si>
  <si>
    <t>Annual Dose Volume</t>
  </si>
  <si>
    <t>Recombivax HB</t>
  </si>
  <si>
    <t>Engerix</t>
  </si>
  <si>
    <t>Hep B</t>
  </si>
  <si>
    <t xml:space="preserve">Vaccine </t>
  </si>
  <si>
    <t>Portfolio With Vaxelis 
(Base Group)</t>
  </si>
  <si>
    <t>Portfolio With Vaxelis 
(Performance Group)</t>
  </si>
  <si>
    <t>Vaxelis Uptake (&lt; 75%)</t>
  </si>
  <si>
    <t>Vaxelis Uptake 
( &gt; 75%)</t>
  </si>
  <si>
    <t>Total Cost</t>
  </si>
  <si>
    <t>Impact $</t>
  </si>
  <si>
    <t>Impact %</t>
  </si>
  <si>
    <t>DTaP</t>
  </si>
  <si>
    <t>Portfolio With Vaxelis 
(Single Entity 4th Dose)</t>
  </si>
  <si>
    <t>Vaxelis Uptake 
( 100%)</t>
  </si>
  <si>
    <t>Prevnar 20</t>
  </si>
  <si>
    <t>Vaxneuvance</t>
  </si>
  <si>
    <t>Merck</t>
  </si>
  <si>
    <t>Sanofi</t>
  </si>
  <si>
    <t>Merck/Sanofi</t>
  </si>
  <si>
    <t>Components</t>
  </si>
  <si>
    <t>Heplisav-B</t>
  </si>
  <si>
    <t>Payer 1 Name</t>
  </si>
  <si>
    <t>Payer 2 Name</t>
  </si>
  <si>
    <t>Payer 3 Name</t>
  </si>
  <si>
    <t>GSK Enhanced Contract + Prompt Pay Discount</t>
  </si>
  <si>
    <t>Enter the payment amount by CPT code for each of the vaccines paid by the payers in columns D-H.</t>
  </si>
  <si>
    <t>Average Payment per Dose</t>
  </si>
  <si>
    <t>(If you do not have or do not know the payment for a particular vaccine, please enter "0".)</t>
  </si>
  <si>
    <t>Instances where your payment is lower than the CDC list price benchmark + 25% will appear in red.</t>
  </si>
  <si>
    <r>
      <rPr>
        <vertAlign val="superscript"/>
        <sz val="11"/>
        <color indexed="8"/>
        <rFont val="Calibri"/>
        <family val="2"/>
      </rPr>
      <t>13</t>
    </r>
    <r>
      <rPr>
        <sz val="11"/>
        <color theme="1"/>
        <rFont val="Calibri"/>
        <family val="2"/>
        <scheme val="minor"/>
      </rPr>
      <t xml:space="preserve"> CPP doses include MenQuadfi and Menveo dose totals.</t>
    </r>
  </si>
  <si>
    <t>Moderna</t>
  </si>
  <si>
    <t>Pfizer BioNTech COVID-19 (6 mo - 4 yrs)</t>
  </si>
  <si>
    <t>Pfizer BioNTech COVID-19 (5-11 yrs)</t>
  </si>
  <si>
    <t>Pfizer BioNTech COVID-19 (12+ yrs)</t>
  </si>
  <si>
    <t>Moderna COVID-19 (12+ yrs)</t>
  </si>
  <si>
    <t>Moderna COVID-19 (6 mo - 11 yrs)</t>
  </si>
  <si>
    <t>CPT</t>
  </si>
  <si>
    <t>Beyfortus .5 mL</t>
  </si>
  <si>
    <t>Beyfortus 1 mL</t>
  </si>
  <si>
    <t>Abrysvo (RSV)</t>
  </si>
  <si>
    <t>Flu</t>
  </si>
  <si>
    <t>CDC List Price</t>
  </si>
  <si>
    <t>No excise tax yet</t>
  </si>
  <si>
    <t>Excise Tax per Component</t>
  </si>
  <si>
    <t>RSV</t>
  </si>
  <si>
    <t>COVID</t>
  </si>
  <si>
    <t>Pfizer-BioNTech COVID-19 (6mo-4yrs)</t>
  </si>
  <si>
    <t>Pfizer-BioNTech COVID-19 (5-11yrs)</t>
  </si>
  <si>
    <t>Pfizer-BioNTech COVID-19 (12yrs +)</t>
  </si>
  <si>
    <t>Moderna COVID-19 (6mo-11yrs)</t>
  </si>
  <si>
    <t>Moderna COVID-19 (12yrs +)</t>
  </si>
  <si>
    <t>Arexvy</t>
  </si>
  <si>
    <t>Priorix</t>
  </si>
  <si>
    <t>Beyfortus (infant)</t>
  </si>
  <si>
    <t>Abrysvo (Adult/Maternal)</t>
  </si>
  <si>
    <t>Arexvy (Adult)</t>
  </si>
  <si>
    <t>Pneumococcal</t>
  </si>
  <si>
    <t>Penbraya</t>
  </si>
  <si>
    <t>No Excise tax yet</t>
  </si>
  <si>
    <t>Fluzone QIV</t>
  </si>
  <si>
    <t>Fluzone HD QIV</t>
  </si>
  <si>
    <t>Flublok QIV</t>
  </si>
  <si>
    <t>Flumist</t>
  </si>
  <si>
    <t>AstraZeneca</t>
  </si>
  <si>
    <t>Fluarix</t>
  </si>
  <si>
    <t>Flulaval</t>
  </si>
  <si>
    <t>Meningococcal ABCWY</t>
  </si>
  <si>
    <t>Multiplier</t>
  </si>
  <si>
    <t>90380 / 90381</t>
  </si>
  <si>
    <t>Fluzone TIV</t>
  </si>
  <si>
    <t>Fluzone HD TIV</t>
  </si>
  <si>
    <t>This is not on CDC list</t>
  </si>
  <si>
    <t>Flucelvax</t>
  </si>
  <si>
    <t>Seqirus</t>
  </si>
  <si>
    <t>Flublok TIV</t>
  </si>
  <si>
    <t>Afluria</t>
  </si>
  <si>
    <t>Flucelvax TIV</t>
  </si>
  <si>
    <t>Afluria TIV</t>
  </si>
  <si>
    <t>Fluad</t>
  </si>
  <si>
    <t>Placeholder</t>
  </si>
  <si>
    <t>90656 / 90657 / 90658</t>
  </si>
  <si>
    <t>Capvaxive</t>
  </si>
  <si>
    <t>mResvia</t>
  </si>
  <si>
    <t>Novavax</t>
  </si>
  <si>
    <t>COVID 19 Vaccine</t>
  </si>
  <si>
    <t>Novavax COVID-19 (12yrs +)</t>
  </si>
  <si>
    <t>mResvia (Adult)</t>
  </si>
  <si>
    <t>CDC and CPP updated</t>
  </si>
  <si>
    <t>CDC not updated, CPP updated</t>
  </si>
  <si>
    <t>Not on CDC website</t>
  </si>
  <si>
    <t>Merck Roster 1</t>
  </si>
  <si>
    <t>Merck Roster 2</t>
  </si>
  <si>
    <t>Has not been updated by CDC as of 2/1/2025</t>
  </si>
  <si>
    <t>CDC Updated 2025</t>
  </si>
  <si>
    <t>6% price increase</t>
  </si>
  <si>
    <t>9% price increase</t>
  </si>
  <si>
    <t>Vaxneuvance will stay discounted for roster 1 through 2025</t>
  </si>
  <si>
    <t>Heplisav B (adult)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</si>
</sst>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6" formatCode="0.00_);\(0.00\)"/>
  </numFmts>
  <fonts count="10"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vertAlign val="superscript"/>
      <sz val="11"/>
      <color indexed="8"/>
      <name val="Calibri"/>
      <family val="2"/>
    </font>
    <font>
      <sz val="10"/>
      <name val="Arial"/>
      <family val="2"/>
    </font>
    <font>
      <i/>
      <sz val="11"/>
      <color theme="1"/>
      <name val="Calibri"/>
      <family val="2"/>
      <scheme val="minor"/>
    </font>
    <font>
      <b/>
      <i/>
      <sz val="11"/>
      <color theme="1"/>
      <name val="Calibri"/>
      <family val="2"/>
      <scheme val="minor"/>
    </font>
    <font>
      <b/>
      <sz val="14"/>
      <color theme="1"/>
      <name val="Calibri"/>
      <family val="2"/>
      <scheme val="minor"/>
    </font>
    <font>
      <sz val="11"/>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247">
    <xf numFmtId="0" fontId="0" fillId="0" borderId="0" xfId="0"/>
    <xf numFmtId="0" fontId="2" fillId="0" borderId="1" xfId="0" applyFont="1" applyBorder="1"/>
    <xf numFmtId="0" fontId="2" fillId="0" borderId="2" xfId="0" applyFont="1" applyBorder="1"/>
    <xf numFmtId="0" fontId="2" fillId="0" borderId="0" xfId="0" applyFont="1"/>
    <xf numFmtId="0" fontId="0" fillId="0" borderId="5" xfId="0" applyBorder="1"/>
    <xf numFmtId="0" fontId="0" fillId="0" borderId="6" xfId="0" applyBorder="1"/>
    <xf numFmtId="43" fontId="0" fillId="0" borderId="0" xfId="0" applyNumberFormat="1"/>
    <xf numFmtId="0" fontId="0" fillId="0" borderId="10" xfId="0" applyBorder="1"/>
    <xf numFmtId="0" fontId="0" fillId="0" borderId="11" xfId="0" applyBorder="1"/>
    <xf numFmtId="164" fontId="1" fillId="0" borderId="0" xfId="1" applyNumberFormat="1" applyFont="1" applyBorder="1"/>
    <xf numFmtId="0" fontId="0" fillId="0" borderId="12" xfId="0" applyBorder="1"/>
    <xf numFmtId="0" fontId="0" fillId="0" borderId="13" xfId="0" applyBorder="1"/>
    <xf numFmtId="0" fontId="0" fillId="0" borderId="1" xfId="0" applyBorder="1"/>
    <xf numFmtId="0" fontId="0" fillId="0" borderId="2" xfId="0" applyBorder="1"/>
    <xf numFmtId="0" fontId="0" fillId="0" borderId="6" xfId="0" applyFill="1" applyBorder="1"/>
    <xf numFmtId="164" fontId="1" fillId="0" borderId="0" xfId="1" applyNumberFormat="1" applyFont="1"/>
    <xf numFmtId="43" fontId="1" fillId="0" borderId="0" xfId="1" applyFont="1"/>
    <xf numFmtId="164" fontId="3" fillId="0" borderId="0" xfId="1" applyNumberFormat="1" applyFont="1"/>
    <xf numFmtId="9" fontId="1" fillId="0" borderId="0" xfId="2" applyFont="1"/>
    <xf numFmtId="43" fontId="1" fillId="0" borderId="0" xfId="1" applyFont="1" applyFill="1"/>
    <xf numFmtId="0" fontId="0" fillId="0" borderId="0" xfId="0" applyAlignment="1">
      <alignment horizontal="center"/>
    </xf>
    <xf numFmtId="43" fontId="2" fillId="0" borderId="0" xfId="0" applyNumberFormat="1" applyFont="1"/>
    <xf numFmtId="0" fontId="2" fillId="0" borderId="0" xfId="0" applyFont="1" applyAlignment="1">
      <alignment horizontal="center"/>
    </xf>
    <xf numFmtId="0" fontId="2" fillId="0" borderId="2" xfId="0" applyFont="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6" xfId="0" applyFill="1" applyBorder="1" applyAlignment="1">
      <alignment horizontal="center"/>
    </xf>
    <xf numFmtId="0" fontId="0" fillId="0" borderId="3" xfId="0" applyBorder="1"/>
    <xf numFmtId="0" fontId="2" fillId="0" borderId="1" xfId="0" applyFont="1" applyBorder="1" applyAlignment="1">
      <alignment horizontal="center"/>
    </xf>
    <xf numFmtId="0" fontId="2" fillId="0" borderId="3" xfId="0" applyFont="1" applyBorder="1" applyAlignment="1">
      <alignment horizontal="center"/>
    </xf>
    <xf numFmtId="0" fontId="0" fillId="0" borderId="4" xfId="0" applyBorder="1"/>
    <xf numFmtId="0" fontId="0" fillId="0" borderId="9" xfId="0" applyBorder="1"/>
    <xf numFmtId="0" fontId="0" fillId="0" borderId="8"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43" fontId="2" fillId="2" borderId="4" xfId="1" applyFont="1" applyFill="1" applyBorder="1" applyAlignment="1" applyProtection="1">
      <alignment horizontal="center" vertical="center" wrapText="1"/>
      <protection locked="0"/>
    </xf>
    <xf numFmtId="43" fontId="1" fillId="0" borderId="5" xfId="1" applyFont="1" applyFill="1" applyBorder="1" applyProtection="1">
      <protection locked="0"/>
    </xf>
    <xf numFmtId="43" fontId="1" fillId="0" borderId="10" xfId="1" applyFont="1" applyFill="1" applyBorder="1" applyProtection="1">
      <protection locked="0"/>
    </xf>
    <xf numFmtId="43" fontId="1" fillId="0" borderId="12" xfId="1" applyFont="1" applyFill="1" applyBorder="1" applyProtection="1">
      <protection locked="0"/>
    </xf>
    <xf numFmtId="43" fontId="1" fillId="0" borderId="1" xfId="1" applyFont="1" applyFill="1" applyBorder="1" applyProtection="1">
      <protection locked="0"/>
    </xf>
    <xf numFmtId="43" fontId="1" fillId="0" borderId="10" xfId="1" applyFont="1" applyFill="1" applyBorder="1" applyAlignment="1" applyProtection="1">
      <alignment vertical="center"/>
      <protection locked="0"/>
    </xf>
    <xf numFmtId="43" fontId="1" fillId="0" borderId="12" xfId="1" applyFont="1" applyFill="1" applyBorder="1" applyAlignment="1" applyProtection="1">
      <alignment vertical="center"/>
      <protection locked="0"/>
    </xf>
    <xf numFmtId="0" fontId="8" fillId="0" borderId="0" xfId="0" applyFont="1" applyAlignment="1">
      <alignment horizontal="center"/>
    </xf>
    <xf numFmtId="0" fontId="2" fillId="0" borderId="4" xfId="0" applyFont="1" applyBorder="1" applyAlignment="1">
      <alignment horizontal="center" wrapText="1"/>
    </xf>
    <xf numFmtId="0" fontId="2" fillId="0" borderId="4" xfId="0" applyFont="1" applyFill="1"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0" fontId="0" fillId="0" borderId="8" xfId="0" applyBorder="1"/>
    <xf numFmtId="0" fontId="0" fillId="0" borderId="15" xfId="0" applyBorder="1"/>
    <xf numFmtId="0" fontId="0" fillId="0" borderId="8" xfId="0" applyFill="1" applyBorder="1"/>
    <xf numFmtId="43" fontId="0" fillId="0" borderId="8" xfId="1" applyFont="1" applyFill="1" applyBorder="1" applyAlignment="1">
      <alignment horizontal="center"/>
    </xf>
    <xf numFmtId="0" fontId="0" fillId="0" borderId="1" xfId="0" applyFill="1" applyBorder="1"/>
    <xf numFmtId="0" fontId="0" fillId="0" borderId="3" xfId="0" applyFill="1" applyBorder="1"/>
    <xf numFmtId="0" fontId="8" fillId="0" borderId="1" xfId="0" applyFont="1" applyBorder="1" applyAlignment="1">
      <alignment horizontal="center"/>
    </xf>
    <xf numFmtId="0" fontId="8"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right"/>
    </xf>
    <xf numFmtId="43" fontId="0" fillId="0" borderId="15" xfId="1" applyFont="1" applyBorder="1"/>
    <xf numFmtId="9" fontId="0" fillId="0" borderId="15" xfId="2" applyFont="1" applyBorder="1"/>
    <xf numFmtId="0" fontId="2" fillId="0" borderId="1" xfId="0" applyFont="1" applyBorder="1" applyAlignment="1">
      <alignment wrapText="1"/>
    </xf>
    <xf numFmtId="0" fontId="2" fillId="4" borderId="4" xfId="0" applyFont="1" applyFill="1" applyBorder="1" applyAlignment="1">
      <alignment horizontal="center" wrapText="1"/>
    </xf>
    <xf numFmtId="43" fontId="0" fillId="4" borderId="12" xfId="1" applyFont="1" applyFill="1" applyBorder="1" applyProtection="1">
      <protection locked="0"/>
    </xf>
    <xf numFmtId="0" fontId="2" fillId="3" borderId="4" xfId="0" applyFont="1" applyFill="1" applyBorder="1" applyAlignment="1">
      <alignment horizontal="center"/>
    </xf>
    <xf numFmtId="0" fontId="2" fillId="3" borderId="2" xfId="0" applyFont="1" applyFill="1" applyBorder="1" applyAlignment="1">
      <alignment horizontal="center" wrapText="1"/>
    </xf>
    <xf numFmtId="9" fontId="6" fillId="3" borderId="2" xfId="0" applyNumberFormat="1" applyFont="1" applyFill="1" applyBorder="1"/>
    <xf numFmtId="43" fontId="0" fillId="3" borderId="8" xfId="1" applyFont="1" applyFill="1" applyBorder="1"/>
    <xf numFmtId="43" fontId="0" fillId="3" borderId="9" xfId="1" applyFont="1" applyFill="1" applyBorder="1"/>
    <xf numFmtId="43" fontId="0" fillId="3" borderId="15" xfId="1" applyFont="1" applyFill="1" applyBorder="1"/>
    <xf numFmtId="43" fontId="0" fillId="3" borderId="4" xfId="1" applyFont="1" applyFill="1" applyBorder="1"/>
    <xf numFmtId="43" fontId="0" fillId="3" borderId="8" xfId="1" applyFont="1" applyFill="1" applyBorder="1" applyAlignment="1">
      <alignment horizontal="center" vertical="center"/>
    </xf>
    <xf numFmtId="43" fontId="0" fillId="3" borderId="9" xfId="1" applyFont="1" applyFill="1" applyBorder="1" applyAlignment="1">
      <alignment horizontal="center" vertical="center"/>
    </xf>
    <xf numFmtId="43" fontId="0" fillId="3" borderId="9" xfId="1" applyFont="1" applyFill="1" applyBorder="1" applyAlignment="1">
      <alignment vertical="center"/>
    </xf>
    <xf numFmtId="43" fontId="0" fillId="3" borderId="15" xfId="1" applyFont="1" applyFill="1" applyBorder="1" applyAlignment="1">
      <alignment vertical="center"/>
    </xf>
    <xf numFmtId="43" fontId="0" fillId="3" borderId="8" xfId="1" applyFont="1" applyFill="1" applyBorder="1" applyAlignment="1">
      <alignment vertical="center"/>
    </xf>
    <xf numFmtId="9" fontId="1" fillId="3" borderId="4" xfId="2" applyFont="1" applyFill="1" applyBorder="1" applyProtection="1">
      <protection locked="0"/>
    </xf>
    <xf numFmtId="0" fontId="2" fillId="5" borderId="4" xfId="0" applyFont="1" applyFill="1" applyBorder="1" applyAlignment="1">
      <alignment horizontal="center"/>
    </xf>
    <xf numFmtId="43" fontId="0" fillId="0" borderId="4" xfId="1" applyFont="1" applyFill="1" applyBorder="1" applyAlignment="1">
      <alignment horizontal="center"/>
    </xf>
    <xf numFmtId="43" fontId="0" fillId="0" borderId="8" xfId="1" applyFont="1" applyFill="1" applyBorder="1" applyAlignment="1">
      <alignment vertical="center"/>
    </xf>
    <xf numFmtId="43" fontId="0" fillId="0" borderId="0" xfId="1" applyFont="1" applyBorder="1"/>
    <xf numFmtId="0" fontId="0" fillId="0" borderId="9" xfId="0" applyFill="1" applyBorder="1"/>
    <xf numFmtId="43" fontId="1" fillId="0" borderId="8" xfId="1" applyFont="1" applyFill="1" applyBorder="1" applyProtection="1">
      <protection locked="0"/>
    </xf>
    <xf numFmtId="43" fontId="1" fillId="0" borderId="9" xfId="1" applyFont="1" applyFill="1" applyBorder="1" applyProtection="1">
      <protection locked="0"/>
    </xf>
    <xf numFmtId="43" fontId="1" fillId="0" borderId="15" xfId="1" applyFont="1" applyFill="1" applyBorder="1" applyProtection="1">
      <protection locked="0"/>
    </xf>
    <xf numFmtId="43" fontId="1" fillId="0" borderId="4" xfId="1" applyFont="1" applyFill="1" applyBorder="1" applyProtection="1">
      <protection locked="0"/>
    </xf>
    <xf numFmtId="43" fontId="1" fillId="0" borderId="9" xfId="1" applyFont="1" applyFill="1" applyBorder="1" applyAlignment="1" applyProtection="1">
      <alignment vertical="center"/>
      <protection locked="0"/>
    </xf>
    <xf numFmtId="43" fontId="1" fillId="0" borderId="15" xfId="1" applyFont="1" applyFill="1" applyBorder="1" applyAlignment="1" applyProtection="1">
      <alignment vertical="center"/>
      <protection locked="0"/>
    </xf>
    <xf numFmtId="0" fontId="0" fillId="0" borderId="0" xfId="0" applyBorder="1"/>
    <xf numFmtId="43" fontId="1" fillId="0" borderId="8" xfId="1" applyFont="1" applyFill="1" applyBorder="1" applyAlignment="1" applyProtection="1">
      <alignment vertical="center"/>
      <protection locked="0"/>
    </xf>
    <xf numFmtId="43" fontId="1" fillId="0" borderId="5" xfId="1" applyFont="1" applyFill="1" applyBorder="1" applyAlignment="1" applyProtection="1">
      <alignment vertical="center"/>
      <protection locked="0"/>
    </xf>
    <xf numFmtId="0" fontId="0" fillId="0" borderId="0" xfId="0" applyFont="1" applyAlignment="1">
      <alignment horizontal="center"/>
    </xf>
    <xf numFmtId="0" fontId="0" fillId="0" borderId="13" xfId="0" applyBorder="1" applyAlignment="1">
      <alignment horizontal="center" vertical="center"/>
    </xf>
    <xf numFmtId="43" fontId="0" fillId="0" borderId="15" xfId="1" applyFont="1" applyFill="1" applyBorder="1" applyAlignment="1">
      <alignment vertical="center"/>
    </xf>
    <xf numFmtId="0" fontId="0" fillId="0" borderId="7" xfId="0" applyBorder="1"/>
    <xf numFmtId="43" fontId="0" fillId="0" borderId="0" xfId="0" applyNumberFormat="1" applyBorder="1"/>
    <xf numFmtId="0" fontId="2" fillId="0" borderId="5" xfId="0" applyFont="1" applyBorder="1"/>
    <xf numFmtId="0" fontId="2" fillId="0" borderId="7" xfId="0" applyFont="1" applyBorder="1"/>
    <xf numFmtId="43" fontId="2" fillId="0" borderId="6" xfId="0" applyNumberFormat="1" applyFont="1" applyBorder="1"/>
    <xf numFmtId="0" fontId="2" fillId="0" borderId="10" xfId="0" applyFont="1" applyBorder="1"/>
    <xf numFmtId="0" fontId="2" fillId="0" borderId="0" xfId="0" applyFont="1" applyBorder="1"/>
    <xf numFmtId="43" fontId="2" fillId="0" borderId="11" xfId="0" applyNumberFormat="1" applyFont="1" applyBorder="1"/>
    <xf numFmtId="0" fontId="2" fillId="0" borderId="12" xfId="0" applyFont="1" applyBorder="1"/>
    <xf numFmtId="0" fontId="2" fillId="0" borderId="14" xfId="0" applyFont="1" applyBorder="1"/>
    <xf numFmtId="9" fontId="2" fillId="0" borderId="13" xfId="2" applyFont="1" applyBorder="1"/>
    <xf numFmtId="43" fontId="0" fillId="0" borderId="11" xfId="1" applyFont="1" applyBorder="1"/>
    <xf numFmtId="0" fontId="2" fillId="0" borderId="11" xfId="0" applyFont="1" applyBorder="1"/>
    <xf numFmtId="0" fontId="2" fillId="0" borderId="13" xfId="0" applyFont="1" applyBorder="1"/>
    <xf numFmtId="164" fontId="0" fillId="0" borderId="0" xfId="0" applyNumberFormat="1" applyBorder="1"/>
    <xf numFmtId="0" fontId="2" fillId="0" borderId="12" xfId="0" applyFont="1" applyBorder="1" applyAlignment="1">
      <alignment horizontal="center" wrapText="1"/>
    </xf>
    <xf numFmtId="0" fontId="2" fillId="0" borderId="14" xfId="0" applyFont="1" applyBorder="1" applyAlignment="1">
      <alignment horizontal="center" wrapText="1"/>
    </xf>
    <xf numFmtId="0" fontId="2" fillId="0" borderId="13" xfId="0" applyFont="1" applyBorder="1" applyAlignment="1">
      <alignment horizontal="center" wrapText="1"/>
    </xf>
    <xf numFmtId="9" fontId="2" fillId="6" borderId="15" xfId="2" applyFont="1" applyFill="1" applyBorder="1" applyAlignment="1">
      <alignment horizontal="center"/>
    </xf>
    <xf numFmtId="0" fontId="2" fillId="0" borderId="9" xfId="0" applyFont="1" applyBorder="1"/>
    <xf numFmtId="0" fontId="2" fillId="0" borderId="15" xfId="0" applyFont="1" applyBorder="1"/>
    <xf numFmtId="0" fontId="2" fillId="0" borderId="5" xfId="0" applyFont="1" applyBorder="1" applyAlignment="1">
      <alignment horizontal="right"/>
    </xf>
    <xf numFmtId="0" fontId="2" fillId="0" borderId="10" xfId="0" applyFont="1" applyBorder="1" applyAlignment="1">
      <alignment horizontal="right"/>
    </xf>
    <xf numFmtId="0" fontId="2" fillId="0" borderId="12" xfId="0" applyFont="1" applyBorder="1" applyAlignment="1">
      <alignment horizontal="right"/>
    </xf>
    <xf numFmtId="0" fontId="0" fillId="0" borderId="0" xfId="0" applyFill="1" applyBorder="1"/>
    <xf numFmtId="0" fontId="2" fillId="0" borderId="10" xfId="0" applyFont="1" applyBorder="1" applyAlignment="1">
      <alignment horizontal="center" wrapText="1"/>
    </xf>
    <xf numFmtId="164" fontId="2" fillId="6" borderId="4" xfId="1" applyNumberFormat="1" applyFont="1" applyFill="1" applyBorder="1"/>
    <xf numFmtId="0" fontId="0" fillId="0" borderId="0" xfId="0" applyBorder="1" applyAlignment="1">
      <alignment horizontal="center"/>
    </xf>
    <xf numFmtId="43" fontId="0" fillId="0" borderId="8" xfId="1" applyFont="1" applyFill="1" applyBorder="1"/>
    <xf numFmtId="43" fontId="0" fillId="0" borderId="15" xfId="1" applyFont="1" applyFill="1" applyBorder="1"/>
    <xf numFmtId="0" fontId="2" fillId="3" borderId="2" xfId="0" applyFont="1" applyFill="1" applyBorder="1" applyAlignment="1">
      <alignment horizontal="center" vertical="center" wrapText="1"/>
    </xf>
    <xf numFmtId="43" fontId="2" fillId="5" borderId="4" xfId="1" applyFont="1" applyFill="1" applyBorder="1" applyAlignment="1">
      <alignment horizontal="center" wrapText="1"/>
    </xf>
    <xf numFmtId="0" fontId="0" fillId="0" borderId="5" xfId="0" applyBorder="1" applyAlignment="1">
      <alignment horizontal="left" vertical="center" wrapText="1"/>
    </xf>
    <xf numFmtId="0" fontId="0" fillId="0" borderId="14" xfId="0" applyBorder="1"/>
    <xf numFmtId="43" fontId="0" fillId="0" borderId="4" xfId="1" applyFont="1" applyFill="1" applyBorder="1" applyAlignment="1">
      <alignment vertical="center"/>
    </xf>
    <xf numFmtId="0" fontId="0" fillId="0" borderId="4" xfId="0" applyFill="1" applyBorder="1"/>
    <xf numFmtId="0" fontId="0" fillId="0" borderId="4" xfId="0" applyFill="1" applyBorder="1" applyAlignment="1">
      <alignment horizontal="center"/>
    </xf>
    <xf numFmtId="0" fontId="0" fillId="0" borderId="4" xfId="0" applyBorder="1" applyAlignment="1">
      <alignment horizontal="center" vertical="center"/>
    </xf>
    <xf numFmtId="14" fontId="2" fillId="0" borderId="0" xfId="0" applyNumberFormat="1" applyFont="1"/>
    <xf numFmtId="0" fontId="2" fillId="0" borderId="4" xfId="0" applyFont="1" applyBorder="1" applyAlignment="1">
      <alignment horizontal="center"/>
    </xf>
    <xf numFmtId="43" fontId="2" fillId="0" borderId="4" xfId="1" applyFont="1" applyBorder="1"/>
    <xf numFmtId="0" fontId="2" fillId="0" borderId="4" xfId="0" applyFont="1" applyBorder="1"/>
    <xf numFmtId="0" fontId="9" fillId="0" borderId="4" xfId="0" applyFont="1" applyBorder="1" applyAlignment="1">
      <alignment horizontal="center" vertical="center" readingOrder="1"/>
    </xf>
    <xf numFmtId="0" fontId="9" fillId="0" borderId="4" xfId="0" applyFont="1" applyBorder="1" applyAlignment="1">
      <alignment horizontal="center"/>
    </xf>
    <xf numFmtId="0" fontId="2" fillId="2" borderId="0" xfId="0" applyFont="1" applyFill="1"/>
    <xf numFmtId="0" fontId="2" fillId="0" borderId="0" xfId="0" applyFont="1" applyAlignment="1">
      <alignment wrapText="1"/>
    </xf>
    <xf numFmtId="43" fontId="2" fillId="0" borderId="8" xfId="1" applyFont="1" applyBorder="1" applyAlignment="1">
      <alignment wrapText="1"/>
    </xf>
    <xf numFmtId="0" fontId="2" fillId="0" borderId="8" xfId="0" applyFont="1" applyBorder="1" applyAlignment="1">
      <alignment wrapText="1"/>
    </xf>
    <xf numFmtId="43" fontId="0" fillId="0" borderId="4" xfId="1" applyFont="1" applyFill="1" applyBorder="1"/>
    <xf numFmtId="43" fontId="0" fillId="0" borderId="7" xfId="1" applyFont="1" applyFill="1" applyBorder="1"/>
    <xf numFmtId="43" fontId="0" fillId="0" borderId="14" xfId="1" applyFont="1" applyFill="1" applyBorder="1"/>
    <xf numFmtId="43" fontId="0" fillId="0" borderId="3" xfId="1" applyFont="1" applyFill="1" applyBorder="1"/>
    <xf numFmtId="43" fontId="0" fillId="0" borderId="0" xfId="1" applyFont="1" applyFill="1" applyBorder="1"/>
    <xf numFmtId="2" fontId="0" fillId="0" borderId="3" xfId="0" applyNumberFormat="1" applyBorder="1"/>
    <xf numFmtId="2" fontId="0" fillId="0" borderId="7" xfId="0" applyNumberFormat="1" applyBorder="1"/>
    <xf numFmtId="2" fontId="0" fillId="0" borderId="14" xfId="0" applyNumberFormat="1" applyBorder="1"/>
    <xf numFmtId="43" fontId="0" fillId="0" borderId="7" xfId="1" applyNumberFormat="1" applyFont="1" applyFill="1" applyBorder="1" applyAlignment="1">
      <alignment vertical="center"/>
    </xf>
    <xf numFmtId="43" fontId="0" fillId="0" borderId="14" xfId="1" applyNumberFormat="1" applyFont="1" applyFill="1" applyBorder="1" applyAlignment="1">
      <alignment vertical="center"/>
    </xf>
    <xf numFmtId="43" fontId="0" fillId="0" borderId="3" xfId="1" applyNumberFormat="1" applyFont="1" applyFill="1" applyBorder="1" applyAlignment="1">
      <alignment horizontal="center"/>
    </xf>
    <xf numFmtId="43" fontId="0" fillId="0" borderId="3" xfId="0" applyNumberFormat="1" applyBorder="1"/>
    <xf numFmtId="2" fontId="0" fillId="0" borderId="1" xfId="0" applyNumberFormat="1" applyBorder="1"/>
    <xf numFmtId="2" fontId="0" fillId="0" borderId="5" xfId="0" applyNumberFormat="1" applyBorder="1"/>
    <xf numFmtId="2" fontId="0" fillId="0" borderId="12" xfId="0" applyNumberFormat="1" applyBorder="1"/>
    <xf numFmtId="2" fontId="0" fillId="0" borderId="4" xfId="0" applyNumberFormat="1" applyBorder="1"/>
    <xf numFmtId="0" fontId="0" fillId="0" borderId="2" xfId="0" applyFill="1" applyBorder="1"/>
    <xf numFmtId="0" fontId="0" fillId="0" borderId="11" xfId="0" quotePrefix="1" applyBorder="1" applyAlignment="1">
      <alignment horizontal="center"/>
    </xf>
    <xf numFmtId="0" fontId="0" fillId="0" borderId="7" xfId="0" applyFill="1" applyBorder="1"/>
    <xf numFmtId="0" fontId="0" fillId="0" borderId="14" xfId="0" applyFill="1" applyBorder="1"/>
    <xf numFmtId="2" fontId="0" fillId="0" borderId="1" xfId="0" applyNumberFormat="1" applyFill="1" applyBorder="1"/>
    <xf numFmtId="0" fontId="0" fillId="0" borderId="2" xfId="1" applyNumberFormat="1" applyFont="1" applyFill="1" applyBorder="1"/>
    <xf numFmtId="0" fontId="9" fillId="0" borderId="4" xfId="0" applyFont="1" applyFill="1" applyBorder="1" applyAlignment="1">
      <alignment horizontal="center" vertical="center" readingOrder="1"/>
    </xf>
    <xf numFmtId="166" fontId="0" fillId="0" borderId="4" xfId="0" applyNumberFormat="1" applyBorder="1"/>
    <xf numFmtId="0" fontId="0" fillId="8" borderId="4" xfId="0" applyFill="1" applyBorder="1"/>
    <xf numFmtId="166" fontId="0" fillId="8" borderId="4" xfId="0" applyNumberFormat="1" applyFill="1" applyBorder="1"/>
    <xf numFmtId="0" fontId="0" fillId="3" borderId="9" xfId="1" applyNumberFormat="1" applyFont="1" applyFill="1" applyBorder="1"/>
    <xf numFmtId="43" fontId="1" fillId="6" borderId="1" xfId="1" applyFont="1" applyFill="1" applyBorder="1" applyProtection="1">
      <protection locked="0"/>
    </xf>
    <xf numFmtId="0" fontId="0" fillId="2" borderId="8" xfId="0" applyFill="1" applyBorder="1"/>
    <xf numFmtId="0" fontId="0" fillId="2" borderId="9" xfId="0" applyFill="1" applyBorder="1"/>
    <xf numFmtId="0" fontId="0" fillId="2" borderId="15" xfId="0" applyFill="1" applyBorder="1"/>
    <xf numFmtId="2" fontId="0" fillId="0" borderId="15" xfId="0" applyNumberFormat="1" applyBorder="1"/>
    <xf numFmtId="2" fontId="0" fillId="0" borderId="9" xfId="0" applyNumberFormat="1" applyBorder="1"/>
    <xf numFmtId="2" fontId="0" fillId="0" borderId="8" xfId="0" applyNumberFormat="1" applyBorder="1"/>
    <xf numFmtId="0" fontId="0" fillId="3" borderId="9" xfId="1" applyNumberFormat="1"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xf numFmtId="0" fontId="0" fillId="0" borderId="0" xfId="0" applyFill="1" applyBorder="1" applyAlignment="1">
      <alignment horizontal="center"/>
    </xf>
    <xf numFmtId="0" fontId="0" fillId="0" borderId="0" xfId="0" quotePrefix="1" applyBorder="1" applyAlignment="1">
      <alignment horizontal="center"/>
    </xf>
    <xf numFmtId="0" fontId="0" fillId="0" borderId="0" xfId="0" applyBorder="1" applyAlignment="1">
      <alignment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43" fontId="0" fillId="3" borderId="9" xfId="1" applyNumberFormat="1" applyFont="1" applyFill="1" applyBorder="1"/>
    <xf numFmtId="0" fontId="0" fillId="3" borderId="8" xfId="1" applyNumberFormat="1" applyFont="1" applyFill="1" applyBorder="1"/>
    <xf numFmtId="0" fontId="0" fillId="3" borderId="15" xfId="1" applyNumberFormat="1" applyFont="1" applyFill="1" applyBorder="1" applyAlignment="1">
      <alignment vertical="center"/>
    </xf>
    <xf numFmtId="2" fontId="0" fillId="0" borderId="4" xfId="0" applyNumberFormat="1" applyFill="1" applyBorder="1"/>
    <xf numFmtId="0" fontId="0" fillId="0" borderId="10" xfId="0" applyBorder="1" applyAlignment="1">
      <alignment vertical="center" wrapText="1"/>
    </xf>
    <xf numFmtId="2" fontId="0" fillId="0" borderId="0" xfId="0" applyNumberFormat="1" applyBorder="1"/>
    <xf numFmtId="0" fontId="0" fillId="3" borderId="8" xfId="1" applyNumberFormat="1" applyFont="1" applyFill="1" applyBorder="1" applyAlignment="1">
      <alignment vertical="center"/>
    </xf>
    <xf numFmtId="0" fontId="0" fillId="0" borderId="5" xfId="0" applyBorder="1" applyAlignment="1">
      <alignment vertical="center" wrapText="1"/>
    </xf>
    <xf numFmtId="0" fontId="0" fillId="0" borderId="12" xfId="0" applyBorder="1" applyAlignment="1">
      <alignment vertical="center" wrapText="1"/>
    </xf>
    <xf numFmtId="0" fontId="0" fillId="9" borderId="4" xfId="0" applyFill="1" applyBorder="1"/>
    <xf numFmtId="0" fontId="0" fillId="9" borderId="0" xfId="0" applyFill="1"/>
    <xf numFmtId="0" fontId="0" fillId="0" borderId="1" xfId="0" applyFill="1" applyBorder="1" applyAlignment="1">
      <alignment horizontal="left" vertical="center"/>
    </xf>
    <xf numFmtId="0" fontId="0" fillId="0" borderId="2" xfId="0" quotePrefix="1" applyFill="1" applyBorder="1" applyAlignment="1">
      <alignment horizontal="center"/>
    </xf>
    <xf numFmtId="0" fontId="0" fillId="0" borderId="6" xfId="0" quotePrefix="1" applyNumberFormat="1" applyBorder="1" applyAlignment="1">
      <alignment horizontal="center"/>
    </xf>
    <xf numFmtId="43" fontId="0" fillId="0" borderId="4" xfId="0" applyNumberFormat="1" applyFill="1" applyBorder="1"/>
    <xf numFmtId="43" fontId="0" fillId="0" borderId="4" xfId="0" applyNumberFormat="1" applyBorder="1"/>
    <xf numFmtId="0" fontId="0" fillId="0" borderId="8" xfId="0" applyBorder="1" applyAlignment="1">
      <alignment horizontal="center" wrapText="1"/>
    </xf>
    <xf numFmtId="0" fontId="0" fillId="0" borderId="9" xfId="0" applyBorder="1" applyAlignment="1">
      <alignment horizontal="center" wrapText="1"/>
    </xf>
    <xf numFmtId="0" fontId="0" fillId="0" borderId="14" xfId="0" applyBorder="1" applyAlignment="1">
      <alignment horizontal="center" vertical="center"/>
    </xf>
    <xf numFmtId="0" fontId="0" fillId="3" borderId="6" xfId="1" applyNumberFormat="1" applyFont="1" applyFill="1" applyBorder="1"/>
    <xf numFmtId="0" fontId="0" fillId="3" borderId="11" xfId="1" applyNumberFormat="1" applyFont="1" applyFill="1" applyBorder="1" applyAlignment="1">
      <alignment vertical="center"/>
    </xf>
    <xf numFmtId="43" fontId="1" fillId="0" borderId="13" xfId="1" applyFont="1" applyFill="1" applyBorder="1" applyAlignment="1" applyProtection="1">
      <alignment vertical="center"/>
      <protection locked="0"/>
    </xf>
    <xf numFmtId="43" fontId="1" fillId="0" borderId="6" xfId="1" applyFont="1" applyFill="1" applyBorder="1" applyAlignment="1" applyProtection="1">
      <alignment vertical="center"/>
      <protection locked="0"/>
    </xf>
    <xf numFmtId="43" fontId="1" fillId="0" borderId="11" xfId="1" applyFont="1" applyFill="1" applyBorder="1" applyAlignment="1" applyProtection="1">
      <alignment vertical="center"/>
      <protection locked="0"/>
    </xf>
    <xf numFmtId="0" fontId="0" fillId="0" borderId="11" xfId="0" applyBorder="1" applyAlignment="1">
      <alignment horizontal="center" vertical="center"/>
    </xf>
    <xf numFmtId="2" fontId="1" fillId="0" borderId="15" xfId="1" applyNumberFormat="1" applyFont="1" applyFill="1" applyBorder="1" applyAlignment="1" applyProtection="1">
      <alignment vertical="center"/>
      <protection locked="0"/>
    </xf>
    <xf numFmtId="43" fontId="0" fillId="0" borderId="0" xfId="1" applyFont="1" applyFill="1" applyBorder="1" applyAlignment="1">
      <alignment horizontal="center"/>
    </xf>
    <xf numFmtId="43" fontId="0" fillId="0" borderId="0" xfId="1" applyFont="1" applyFill="1" applyBorder="1" applyAlignment="1">
      <alignment vertical="center"/>
    </xf>
    <xf numFmtId="0" fontId="0" fillId="10" borderId="4" xfId="0" applyFill="1" applyBorder="1"/>
    <xf numFmtId="0" fontId="0" fillId="10" borderId="4" xfId="0" applyFill="1" applyBorder="1" applyAlignment="1">
      <alignment horizontal="center"/>
    </xf>
    <xf numFmtId="43" fontId="0" fillId="10" borderId="4" xfId="1" applyFont="1" applyFill="1" applyBorder="1" applyAlignment="1">
      <alignment horizontal="center"/>
    </xf>
    <xf numFmtId="43" fontId="0" fillId="10" borderId="4" xfId="1" applyFont="1" applyFill="1" applyBorder="1" applyAlignment="1">
      <alignment vertical="center"/>
    </xf>
    <xf numFmtId="43" fontId="0" fillId="10" borderId="8" xfId="1" applyFont="1" applyFill="1" applyBorder="1" applyAlignment="1">
      <alignment horizontal="center"/>
    </xf>
    <xf numFmtId="43" fontId="0" fillId="10" borderId="8" xfId="1" applyFont="1" applyFill="1" applyBorder="1" applyAlignment="1">
      <alignment vertical="center"/>
    </xf>
    <xf numFmtId="0" fontId="0" fillId="10" borderId="2" xfId="0" applyFill="1" applyBorder="1"/>
    <xf numFmtId="0" fontId="0" fillId="10" borderId="4" xfId="0" quotePrefix="1" applyFill="1" applyBorder="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7" fillId="0" borderId="3" xfId="0" applyFont="1" applyBorder="1" applyAlignment="1">
      <alignment horizontal="right"/>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2" fillId="7" borderId="1"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 xfId="0" applyFont="1" applyFill="1" applyBorder="1" applyAlignment="1">
      <alignment horizontal="center" wrapText="1"/>
    </xf>
    <xf numFmtId="0" fontId="2" fillId="7" borderId="3" xfId="0" applyFont="1" applyFill="1" applyBorder="1" applyAlignment="1">
      <alignment horizontal="center" wrapText="1"/>
    </xf>
    <xf numFmtId="0" fontId="2" fillId="7" borderId="2" xfId="0" applyFont="1" applyFill="1" applyBorder="1" applyAlignment="1">
      <alignment horizont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wrapText="1"/>
    </xf>
    <xf numFmtId="0" fontId="2" fillId="4" borderId="3" xfId="0" applyFont="1" applyFill="1" applyBorder="1" applyAlignment="1">
      <alignment horizontal="center" wrapText="1"/>
    </xf>
    <xf numFmtId="0" fontId="2" fillId="4" borderId="2" xfId="0" applyFont="1" applyFill="1" applyBorder="1" applyAlignment="1">
      <alignment horizontal="center" wrapText="1"/>
    </xf>
  </cellXfs>
  <cellStyles count="4">
    <cellStyle name="Comma" xfId="1" builtinId="3"/>
    <cellStyle name="Normal" xfId="0" builtinId="0"/>
    <cellStyle name="Normal 2" xfId="3" xr:uid="{00000000-0005-0000-0000-000002000000}"/>
    <cellStyle name="Percent" xfId="2"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FF99"/>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FF99"/>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DF591"/>
      <color rgb="FF99CCFF"/>
      <color rgb="FFFFFF99"/>
      <color rgb="FFCCFFCC"/>
      <color rgb="FFFFFF00"/>
      <color rgb="FF00CC66"/>
      <color rgb="FF6699FF"/>
      <color rgb="FFCCFF99"/>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16" fmlaLink="$A$5" fmlaRange="#REF!"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xdr:row>
          <xdr:rowOff>9525</xdr:rowOff>
        </xdr:from>
        <xdr:to>
          <xdr:col>1</xdr:col>
          <xdr:colOff>9525</xdr:colOff>
          <xdr:row>4</xdr:row>
          <xdr:rowOff>219075</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7"/>
  <sheetViews>
    <sheetView workbookViewId="0">
      <selection activeCell="A10" sqref="A10"/>
    </sheetView>
  </sheetViews>
  <sheetFormatPr defaultRowHeight="15" x14ac:dyDescent="0.25"/>
  <cols>
    <col min="1" max="1" width="26" customWidth="1"/>
    <col min="2" max="2" width="13.28515625" bestFit="1" customWidth="1"/>
    <col min="3" max="3" width="15.85546875" customWidth="1"/>
    <col min="4" max="4" width="15" customWidth="1"/>
    <col min="5" max="5" width="15.85546875" customWidth="1"/>
    <col min="6" max="6" width="13.5703125" bestFit="1" customWidth="1"/>
  </cols>
  <sheetData>
    <row r="1" spans="1:6" ht="18.75" x14ac:dyDescent="0.3">
      <c r="A1" s="223" t="s">
        <v>64</v>
      </c>
      <c r="B1" s="223"/>
      <c r="C1" s="223"/>
      <c r="D1" s="223"/>
      <c r="E1" s="223"/>
    </row>
    <row r="2" spans="1:6" ht="18.75" x14ac:dyDescent="0.3">
      <c r="A2" s="44"/>
      <c r="B2" s="44"/>
      <c r="C2" s="44"/>
      <c r="D2" s="44"/>
      <c r="E2" s="44"/>
    </row>
    <row r="3" spans="1:6" x14ac:dyDescent="0.25">
      <c r="A3" s="60" t="s">
        <v>73</v>
      </c>
      <c r="B3" s="64" t="s">
        <v>75</v>
      </c>
      <c r="C3" s="45" t="s">
        <v>71</v>
      </c>
      <c r="D3" s="45" t="s">
        <v>72</v>
      </c>
      <c r="E3" s="45" t="s">
        <v>71</v>
      </c>
      <c r="F3" s="45" t="s">
        <v>72</v>
      </c>
    </row>
    <row r="4" spans="1:6" ht="75" x14ac:dyDescent="0.25">
      <c r="A4" s="63" t="s">
        <v>74</v>
      </c>
      <c r="B4" s="64" t="s">
        <v>63</v>
      </c>
      <c r="C4" s="45" t="s">
        <v>65</v>
      </c>
      <c r="D4" s="46" t="s">
        <v>68</v>
      </c>
      <c r="E4" s="45" t="s">
        <v>62</v>
      </c>
      <c r="F4" s="46" t="s">
        <v>69</v>
      </c>
    </row>
    <row r="5" spans="1:6" ht="18" customHeight="1" x14ac:dyDescent="0.25">
      <c r="A5">
        <v>1</v>
      </c>
      <c r="B5" s="65"/>
      <c r="C5" s="61" t="e">
        <f>VLOOKUP(A5,#REF!,5,FALSE)</f>
        <v>#REF!</v>
      </c>
      <c r="D5" s="62" t="e">
        <f>(B5-C5)/B5</f>
        <v>#REF!</v>
      </c>
      <c r="E5" s="61" t="e">
        <f>VLOOKUP(A5,#REF!,4,FALSE)</f>
        <v>#REF!</v>
      </c>
      <c r="F5" s="62" t="e">
        <f>(E5-C5)/E5</f>
        <v>#REF!</v>
      </c>
    </row>
    <row r="7" spans="1:6" x14ac:dyDescent="0.25">
      <c r="A7" t="s">
        <v>67</v>
      </c>
    </row>
  </sheetData>
  <mergeCells count="1">
    <mergeCell ref="A1:E1"/>
  </mergeCells>
  <conditionalFormatting sqref="B5">
    <cfRule type="containsBlanks" dxfId="18" priority="1">
      <formula>LEN(TRIM(B5))=0</formula>
    </cfRule>
  </conditionalFormatting>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0</xdr:col>
                    <xdr:colOff>9525</xdr:colOff>
                    <xdr:row>4</xdr:row>
                    <xdr:rowOff>9525</xdr:rowOff>
                  </from>
                  <to>
                    <xdr:col>1</xdr:col>
                    <xdr:colOff>9525</xdr:colOff>
                    <xdr:row>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9"/>
  <sheetViews>
    <sheetView workbookViewId="0">
      <selection activeCell="D25" sqref="D25"/>
    </sheetView>
  </sheetViews>
  <sheetFormatPr defaultRowHeight="15" x14ac:dyDescent="0.25"/>
  <cols>
    <col min="1" max="1" width="6.42578125" style="3" bestFit="1" customWidth="1"/>
    <col min="2" max="2" width="4.85546875" customWidth="1"/>
    <col min="3" max="3" width="9.85546875" customWidth="1"/>
    <col min="4" max="4" width="96.85546875" customWidth="1"/>
  </cols>
  <sheetData>
    <row r="1" spans="1:4" ht="18.75" x14ac:dyDescent="0.25">
      <c r="A1" s="224" t="s">
        <v>60</v>
      </c>
      <c r="B1" s="224"/>
      <c r="C1" s="224"/>
      <c r="D1" s="224"/>
    </row>
    <row r="2" spans="1:4" x14ac:dyDescent="0.25">
      <c r="A2" s="3" t="s">
        <v>57</v>
      </c>
      <c r="B2" t="s">
        <v>58</v>
      </c>
    </row>
    <row r="4" spans="1:4" x14ac:dyDescent="0.25">
      <c r="B4" s="93" t="s">
        <v>117</v>
      </c>
      <c r="C4" t="s">
        <v>108</v>
      </c>
    </row>
    <row r="5" spans="1:4" x14ac:dyDescent="0.25">
      <c r="B5" s="93" t="s">
        <v>118</v>
      </c>
      <c r="C5" t="s">
        <v>109</v>
      </c>
    </row>
    <row r="6" spans="1:4" x14ac:dyDescent="0.25">
      <c r="B6" s="93" t="s">
        <v>119</v>
      </c>
      <c r="C6" t="s">
        <v>156</v>
      </c>
    </row>
    <row r="7" spans="1:4" x14ac:dyDescent="0.25">
      <c r="D7" t="s">
        <v>158</v>
      </c>
    </row>
    <row r="9" spans="1:4" x14ac:dyDescent="0.25">
      <c r="C9" s="3" t="s">
        <v>159</v>
      </c>
    </row>
  </sheetData>
  <mergeCells count="1">
    <mergeCell ref="A1:D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92"/>
  <sheetViews>
    <sheetView tabSelected="1" workbookViewId="0">
      <pane xSplit="3" ySplit="5" topLeftCell="D6" activePane="bottomRight" state="frozen"/>
      <selection pane="topRight" activeCell="D1" sqref="D1"/>
      <selection pane="bottomLeft" activeCell="A6" sqref="A6"/>
      <selection pane="bottomRight" activeCell="L8" sqref="L8"/>
    </sheetView>
  </sheetViews>
  <sheetFormatPr defaultRowHeight="15" x14ac:dyDescent="0.25"/>
  <cols>
    <col min="1" max="1" width="22.7109375" customWidth="1"/>
    <col min="2" max="2" width="35" bestFit="1" customWidth="1"/>
    <col min="3" max="3" width="12.7109375" bestFit="1" customWidth="1"/>
    <col min="4" max="8" width="12.140625" customWidth="1"/>
    <col min="9" max="9" width="11.7109375" customWidth="1"/>
    <col min="10" max="10" width="1.140625" customWidth="1"/>
    <col min="11" max="11" width="11.28515625" customWidth="1"/>
    <col min="13" max="13" width="20.42578125" hidden="1" customWidth="1"/>
    <col min="14" max="14" width="35" hidden="1" customWidth="1"/>
  </cols>
  <sheetData>
    <row r="1" spans="1:15" ht="18.75" x14ac:dyDescent="0.3">
      <c r="A1" s="223" t="s">
        <v>59</v>
      </c>
      <c r="B1" s="223"/>
      <c r="C1" s="223"/>
      <c r="D1" s="223"/>
      <c r="E1" s="223"/>
      <c r="F1" s="223"/>
      <c r="G1" s="223"/>
      <c r="H1" s="223"/>
      <c r="I1" s="223"/>
      <c r="J1" s="223"/>
      <c r="K1" s="223"/>
    </row>
    <row r="2" spans="1:15" ht="18.75" x14ac:dyDescent="0.3">
      <c r="A2" s="57"/>
      <c r="B2" s="58"/>
      <c r="C2" s="59" t="s">
        <v>73</v>
      </c>
      <c r="D2" s="225" t="s">
        <v>70</v>
      </c>
      <c r="E2" s="226"/>
      <c r="F2" s="226"/>
      <c r="G2" s="226"/>
      <c r="H2" s="227"/>
      <c r="I2" s="66" t="s">
        <v>72</v>
      </c>
      <c r="J2" s="44"/>
      <c r="K2" s="79" t="s">
        <v>70</v>
      </c>
    </row>
    <row r="3" spans="1:15" s="22" customFormat="1" ht="47.25" customHeight="1" x14ac:dyDescent="0.25">
      <c r="A3" s="30"/>
      <c r="B3" s="31"/>
      <c r="C3" s="59"/>
      <c r="D3" s="37" t="s">
        <v>152</v>
      </c>
      <c r="E3" s="37" t="s">
        <v>153</v>
      </c>
      <c r="F3" s="37" t="s">
        <v>154</v>
      </c>
      <c r="G3" s="37" t="s">
        <v>54</v>
      </c>
      <c r="H3" s="37" t="s">
        <v>55</v>
      </c>
      <c r="I3" s="126" t="s">
        <v>157</v>
      </c>
      <c r="K3" s="127" t="s">
        <v>107</v>
      </c>
    </row>
    <row r="4" spans="1:15" x14ac:dyDescent="0.25">
      <c r="A4" s="30"/>
      <c r="B4" s="231" t="s">
        <v>56</v>
      </c>
      <c r="C4" s="231"/>
      <c r="D4" s="78"/>
      <c r="E4" s="78"/>
      <c r="F4" s="78"/>
      <c r="G4" s="78"/>
      <c r="H4" s="78"/>
      <c r="I4" s="68">
        <f>SUM(D4:H4)</f>
        <v>0</v>
      </c>
      <c r="K4" s="33"/>
      <c r="M4" s="3" t="s">
        <v>198</v>
      </c>
    </row>
    <row r="5" spans="1:15" x14ac:dyDescent="0.25">
      <c r="A5" s="1" t="s">
        <v>6</v>
      </c>
      <c r="B5" s="2" t="s">
        <v>7</v>
      </c>
      <c r="C5" s="23" t="s">
        <v>42</v>
      </c>
      <c r="D5" s="12"/>
      <c r="E5" s="29"/>
      <c r="F5" s="29"/>
      <c r="G5" s="29"/>
      <c r="H5" s="29"/>
      <c r="I5" s="32"/>
      <c r="K5" s="33"/>
      <c r="M5">
        <v>1.25</v>
      </c>
    </row>
    <row r="6" spans="1:15" x14ac:dyDescent="0.25">
      <c r="A6" s="4" t="s">
        <v>8</v>
      </c>
      <c r="B6" s="5" t="s">
        <v>8</v>
      </c>
      <c r="C6" s="24">
        <v>90707</v>
      </c>
      <c r="D6" s="39"/>
      <c r="E6" s="85"/>
      <c r="F6" s="39"/>
      <c r="G6" s="39"/>
      <c r="H6" s="39"/>
      <c r="I6" s="188" t="e">
        <f>((D6*D$4)+(E6*E$4)+(F6*F$4)+(G6*G$4)+(H6*H$4))+((1-I$4)*AVERAGE(D6:H6))</f>
        <v>#DIV/0!</v>
      </c>
      <c r="J6" s="83"/>
      <c r="K6" s="84">
        <f>'Pricing Tables'!M5*'Payer Mix Worksheet'!M5</f>
        <v>119</v>
      </c>
      <c r="L6" s="6"/>
      <c r="M6" s="179"/>
      <c r="N6" s="90"/>
      <c r="O6" s="123"/>
    </row>
    <row r="7" spans="1:15" x14ac:dyDescent="0.25">
      <c r="A7" s="7" t="s">
        <v>8</v>
      </c>
      <c r="B7" s="8" t="s">
        <v>183</v>
      </c>
      <c r="C7" s="25">
        <v>90707</v>
      </c>
      <c r="D7" s="39"/>
      <c r="E7" s="85"/>
      <c r="F7" s="39"/>
      <c r="G7" s="39"/>
      <c r="H7" s="39"/>
      <c r="I7" s="187" t="e">
        <f>((D7*D$4)+(E7*E$4)+(F7*F$4)+(G7*G$4)+(H7*H$4))+((1-I$4)*AVERAGE(D7:H7))</f>
        <v>#DIV/0!</v>
      </c>
      <c r="J7" s="83"/>
      <c r="K7" s="85">
        <f>'Pricing Tables'!M92*'Payer Mix Worksheet'!M5</f>
        <v>119</v>
      </c>
      <c r="L7" s="6"/>
      <c r="M7" s="179"/>
      <c r="N7" s="120"/>
      <c r="O7" s="123"/>
    </row>
    <row r="8" spans="1:15" x14ac:dyDescent="0.25">
      <c r="A8" s="7" t="s">
        <v>9</v>
      </c>
      <c r="B8" s="8" t="s">
        <v>10</v>
      </c>
      <c r="C8" s="25">
        <v>90710</v>
      </c>
      <c r="D8" s="39"/>
      <c r="E8" s="85"/>
      <c r="F8" s="39"/>
      <c r="G8" s="39"/>
      <c r="H8" s="39"/>
      <c r="I8" s="170" t="e">
        <f>((D8*D$4)+(E8*E$4)+(F8*F$4)+(G8*G$4)+(H8*H$4))+((1-I$4)*AVERAGE(D8:H8))</f>
        <v>#DIV/0!</v>
      </c>
      <c r="J8" s="83"/>
      <c r="K8" s="85">
        <f>'Pricing Tables'!M7*'Payer Mix Worksheet'!M5</f>
        <v>347.70000000000005</v>
      </c>
      <c r="M8" s="179"/>
      <c r="N8" s="90"/>
      <c r="O8" s="123"/>
    </row>
    <row r="9" spans="1:15" x14ac:dyDescent="0.25">
      <c r="A9" s="10" t="s">
        <v>11</v>
      </c>
      <c r="B9" s="11" t="s">
        <v>12</v>
      </c>
      <c r="C9" s="26">
        <v>90716</v>
      </c>
      <c r="D9" s="40"/>
      <c r="E9" s="86"/>
      <c r="F9" s="40"/>
      <c r="G9" s="40"/>
      <c r="H9" s="40"/>
      <c r="I9" s="71" t="e">
        <f t="shared" ref="I9:I43" si="0">((D9*D$4)+(E9*E$4)+(F9*F$4)+(G9*G$4)+(H9*H$4))+((1-I$4)*AVERAGE(D9:H9))</f>
        <v>#DIV/0!</v>
      </c>
      <c r="J9" s="83"/>
      <c r="K9" s="86">
        <f>'Pricing Tables'!M6*'Payer Mix Worksheet'!M5</f>
        <v>228.75</v>
      </c>
      <c r="M9" s="179"/>
      <c r="N9" s="90"/>
      <c r="O9" s="123"/>
    </row>
    <row r="10" spans="1:15" x14ac:dyDescent="0.25">
      <c r="A10" s="228" t="s">
        <v>13</v>
      </c>
      <c r="B10" s="5" t="s">
        <v>14</v>
      </c>
      <c r="C10" s="24">
        <v>90680</v>
      </c>
      <c r="D10" s="38"/>
      <c r="E10" s="38"/>
      <c r="F10" s="38"/>
      <c r="G10" s="38"/>
      <c r="H10" s="38"/>
      <c r="I10" s="69" t="e">
        <f t="shared" si="0"/>
        <v>#DIV/0!</v>
      </c>
      <c r="J10" s="83"/>
      <c r="K10" s="84">
        <f>'Pricing Tables'!M12*'Payer Mix Worksheet'!M5</f>
        <v>123.52499999999999</v>
      </c>
      <c r="M10" s="179"/>
      <c r="N10" s="90"/>
      <c r="O10" s="123"/>
    </row>
    <row r="11" spans="1:15" x14ac:dyDescent="0.25">
      <c r="A11" s="229"/>
      <c r="B11" s="11" t="s">
        <v>3</v>
      </c>
      <c r="C11" s="26">
        <v>90681</v>
      </c>
      <c r="D11" s="39"/>
      <c r="E11" s="39"/>
      <c r="F11" s="39"/>
      <c r="G11" s="39"/>
      <c r="H11" s="39"/>
      <c r="I11" s="71" t="e">
        <f t="shared" si="0"/>
        <v>#DIV/0!</v>
      </c>
      <c r="J11" s="83"/>
      <c r="K11" s="85">
        <f>'Pricing Tables'!M78*'Payer Mix Worksheet'!M5</f>
        <v>183.77500000000001</v>
      </c>
      <c r="M11" s="179"/>
      <c r="N11" s="90"/>
      <c r="O11" s="123"/>
    </row>
    <row r="12" spans="1:15" ht="16.5" customHeight="1" x14ac:dyDescent="0.25">
      <c r="A12" s="228" t="s">
        <v>15</v>
      </c>
      <c r="B12" s="5" t="s">
        <v>16</v>
      </c>
      <c r="C12" s="34">
        <v>90633</v>
      </c>
      <c r="D12" s="38"/>
      <c r="E12" s="38"/>
      <c r="F12" s="38"/>
      <c r="G12" s="38"/>
      <c r="H12" s="38"/>
      <c r="I12" s="73" t="e">
        <f t="shared" si="0"/>
        <v>#DIV/0!</v>
      </c>
      <c r="J12" s="83"/>
      <c r="K12" s="84">
        <f>'Pricing Tables'!M8*'Payer Mix Worksheet'!M5</f>
        <v>48.5625</v>
      </c>
      <c r="M12" s="179"/>
      <c r="N12" s="90"/>
      <c r="O12" s="180"/>
    </row>
    <row r="13" spans="1:15" x14ac:dyDescent="0.25">
      <c r="A13" s="230"/>
      <c r="B13" s="8" t="s">
        <v>17</v>
      </c>
      <c r="C13" s="36">
        <v>90633</v>
      </c>
      <c r="D13" s="42"/>
      <c r="E13" s="42"/>
      <c r="F13" s="42"/>
      <c r="G13" s="42"/>
      <c r="H13" s="42"/>
      <c r="I13" s="74" t="e">
        <f t="shared" si="0"/>
        <v>#DIV/0!</v>
      </c>
      <c r="J13" s="83"/>
      <c r="K13" s="88">
        <f>'Pricing Tables'!M79*'Payer Mix Worksheet'!M5</f>
        <v>48.912500000000001</v>
      </c>
      <c r="M13" s="179"/>
      <c r="N13" s="90"/>
      <c r="O13" s="180"/>
    </row>
    <row r="14" spans="1:15" x14ac:dyDescent="0.25">
      <c r="A14" s="230"/>
      <c r="B14" s="8" t="s">
        <v>18</v>
      </c>
      <c r="C14" s="36">
        <v>90632</v>
      </c>
      <c r="D14" s="42"/>
      <c r="E14" s="42"/>
      <c r="F14" s="42"/>
      <c r="G14" s="42"/>
      <c r="H14" s="42"/>
      <c r="I14" s="75" t="e">
        <f t="shared" si="0"/>
        <v>#DIV/0!</v>
      </c>
      <c r="J14" s="83"/>
      <c r="K14" s="88">
        <f>'Pricing Tables'!M9*'Payer Mix Worksheet'!M5</f>
        <v>101.64999999999999</v>
      </c>
      <c r="M14" s="179"/>
      <c r="N14" s="90"/>
      <c r="O14" s="180"/>
    </row>
    <row r="15" spans="1:15" x14ac:dyDescent="0.25">
      <c r="A15" s="229"/>
      <c r="B15" s="11" t="s">
        <v>19</v>
      </c>
      <c r="C15" s="35">
        <v>90632</v>
      </c>
      <c r="D15" s="43"/>
      <c r="E15" s="43"/>
      <c r="F15" s="43"/>
      <c r="G15" s="43"/>
      <c r="H15" s="43"/>
      <c r="I15" s="76" t="e">
        <f t="shared" si="0"/>
        <v>#DIV/0!</v>
      </c>
      <c r="J15" s="83"/>
      <c r="K15" s="89">
        <f>'Pricing Tables'!M80*'Payer Mix Worksheet'!M5</f>
        <v>107.6875</v>
      </c>
      <c r="M15" s="179"/>
      <c r="N15" s="90"/>
      <c r="O15" s="180"/>
    </row>
    <row r="16" spans="1:15" x14ac:dyDescent="0.25">
      <c r="A16" s="228" t="s">
        <v>20</v>
      </c>
      <c r="B16" s="5" t="s">
        <v>21</v>
      </c>
      <c r="C16" s="34">
        <v>90744</v>
      </c>
      <c r="D16" s="84"/>
      <c r="E16" s="38"/>
      <c r="F16" s="38"/>
      <c r="G16" s="38"/>
      <c r="H16" s="38"/>
      <c r="I16" s="77" t="e">
        <f t="shared" si="0"/>
        <v>#DIV/0!</v>
      </c>
      <c r="J16" s="83"/>
      <c r="K16" s="84">
        <f>'Pricing Tables'!M3*'Payer Mix Worksheet'!M5</f>
        <v>34.887500000000003</v>
      </c>
      <c r="M16" s="179"/>
      <c r="N16" s="90"/>
      <c r="O16" s="180"/>
    </row>
    <row r="17" spans="1:15" x14ac:dyDescent="0.25">
      <c r="A17" s="230"/>
      <c r="B17" s="8" t="s">
        <v>22</v>
      </c>
      <c r="C17" s="36">
        <v>90744</v>
      </c>
      <c r="D17" s="42"/>
      <c r="E17" s="42"/>
      <c r="F17" s="42"/>
      <c r="G17" s="42"/>
      <c r="H17" s="42"/>
      <c r="I17" s="75" t="e">
        <f t="shared" si="0"/>
        <v>#DIV/0!</v>
      </c>
      <c r="J17" s="83"/>
      <c r="K17" s="88">
        <f>'Pricing Tables'!M81*'Payer Mix Worksheet'!M5</f>
        <v>36.5625</v>
      </c>
      <c r="M17" s="179"/>
      <c r="N17" s="90"/>
      <c r="O17" s="180"/>
    </row>
    <row r="18" spans="1:15" x14ac:dyDescent="0.25">
      <c r="A18" s="230"/>
      <c r="B18" s="8" t="s">
        <v>23</v>
      </c>
      <c r="C18" s="36">
        <v>90746</v>
      </c>
      <c r="D18" s="42"/>
      <c r="E18" s="42"/>
      <c r="F18" s="42"/>
      <c r="G18" s="42"/>
      <c r="H18" s="42"/>
      <c r="I18" s="75" t="e">
        <f t="shared" si="0"/>
        <v>#DIV/0!</v>
      </c>
      <c r="J18" s="83"/>
      <c r="K18" s="88">
        <f>'Pricing Tables'!M4*'Payer Mix Worksheet'!M5</f>
        <v>86.012500000000003</v>
      </c>
      <c r="M18" s="179"/>
      <c r="N18" s="90"/>
      <c r="O18" s="180"/>
    </row>
    <row r="19" spans="1:15" x14ac:dyDescent="0.25">
      <c r="A19" s="230"/>
      <c r="B19" s="8" t="s">
        <v>24</v>
      </c>
      <c r="C19" s="36">
        <v>90746</v>
      </c>
      <c r="D19" s="42"/>
      <c r="E19" s="42"/>
      <c r="F19" s="42"/>
      <c r="G19" s="42"/>
      <c r="H19" s="42"/>
      <c r="I19" s="75" t="e">
        <f t="shared" si="0"/>
        <v>#DIV/0!</v>
      </c>
      <c r="J19" s="83"/>
      <c r="K19" s="88">
        <f>'Pricing Tables'!M82*'Payer Mix Worksheet'!M5</f>
        <v>90.3</v>
      </c>
      <c r="M19" s="179"/>
      <c r="N19" s="90"/>
      <c r="O19" s="180"/>
    </row>
    <row r="20" spans="1:15" x14ac:dyDescent="0.25">
      <c r="A20" s="229"/>
      <c r="B20" s="8" t="s">
        <v>228</v>
      </c>
      <c r="C20" s="94">
        <v>90739</v>
      </c>
      <c r="D20" s="43"/>
      <c r="E20" s="43"/>
      <c r="F20" s="43"/>
      <c r="G20" s="43"/>
      <c r="H20" s="43"/>
      <c r="I20" s="76" t="e">
        <f t="shared" si="0"/>
        <v>#DIV/0!</v>
      </c>
      <c r="J20" s="83"/>
      <c r="K20" s="89">
        <f>'Pricing Tables'!M60*'Payer Mix Worksheet'!M5</f>
        <v>184.53749999999999</v>
      </c>
      <c r="M20" s="179"/>
      <c r="N20" s="90"/>
      <c r="O20" s="180"/>
    </row>
    <row r="21" spans="1:15" x14ac:dyDescent="0.25">
      <c r="A21" s="12" t="s">
        <v>25</v>
      </c>
      <c r="B21" s="13" t="s">
        <v>26</v>
      </c>
      <c r="C21" s="27">
        <v>90636</v>
      </c>
      <c r="D21" s="41"/>
      <c r="E21" s="41"/>
      <c r="F21" s="41"/>
      <c r="G21" s="41"/>
      <c r="H21" s="41"/>
      <c r="I21" s="72" t="e">
        <f t="shared" si="0"/>
        <v>#DIV/0!</v>
      </c>
      <c r="J21" s="83"/>
      <c r="K21" s="87">
        <f>'Pricing Tables'!M83*'Payer Mix Worksheet'!M5</f>
        <v>165.53750000000002</v>
      </c>
      <c r="M21" s="90"/>
      <c r="N21" s="90"/>
      <c r="O21" s="123"/>
    </row>
    <row r="22" spans="1:15" x14ac:dyDescent="0.25">
      <c r="A22" s="4" t="s">
        <v>115</v>
      </c>
      <c r="B22" s="5" t="s">
        <v>78</v>
      </c>
      <c r="C22" s="24">
        <v>90651</v>
      </c>
      <c r="D22" s="92"/>
      <c r="E22" s="38"/>
      <c r="F22" s="38"/>
      <c r="G22" s="38"/>
      <c r="H22" s="38"/>
      <c r="I22" s="69" t="e">
        <f t="shared" ref="I22:I23" si="1">((D22*D$4)+(E22*E$4)+(F22*F$4)+(G22*G$4)+(H22*H$4))+((1-I$4)*AVERAGE(D22:H22))</f>
        <v>#DIV/0!</v>
      </c>
      <c r="J22" s="83"/>
      <c r="K22" s="91">
        <f>'Pricing Tables'!M11*'Payer Mix Worksheet'!M5</f>
        <v>384.51250000000005</v>
      </c>
      <c r="M22" s="90"/>
      <c r="N22" s="90"/>
      <c r="O22" s="123"/>
    </row>
    <row r="23" spans="1:15" x14ac:dyDescent="0.25">
      <c r="A23" s="12" t="s">
        <v>38</v>
      </c>
      <c r="B23" s="13" t="s">
        <v>106</v>
      </c>
      <c r="C23" s="27">
        <v>90732</v>
      </c>
      <c r="D23" s="41"/>
      <c r="E23" s="41"/>
      <c r="F23" s="41"/>
      <c r="G23" s="41"/>
      <c r="H23" s="41"/>
      <c r="I23" s="72" t="e">
        <f t="shared" si="1"/>
        <v>#DIV/0!</v>
      </c>
      <c r="J23" s="83"/>
      <c r="K23" s="87">
        <f>'Pricing Tables'!M14*'Payer Mix Worksheet'!M5</f>
        <v>146.35124999999999</v>
      </c>
      <c r="M23" s="90"/>
      <c r="N23" s="90"/>
      <c r="O23" s="123"/>
    </row>
    <row r="24" spans="1:15" x14ac:dyDescent="0.25">
      <c r="A24" s="4" t="s">
        <v>40</v>
      </c>
      <c r="B24" s="11" t="s">
        <v>122</v>
      </c>
      <c r="C24" s="26">
        <v>90750</v>
      </c>
      <c r="D24" s="43"/>
      <c r="E24" s="40"/>
      <c r="F24" s="40"/>
      <c r="G24" s="40"/>
      <c r="H24" s="40"/>
      <c r="I24" s="71" t="e">
        <f t="shared" ref="I24" si="2">((D24*D$4)+(E24*E$4)+(F24*F$4)+(G24*G$4)+(H24*H$4))+((1-I$4)*AVERAGE(D24:H24))</f>
        <v>#DIV/0!</v>
      </c>
      <c r="J24" s="83"/>
      <c r="K24" s="89">
        <f>'Pricing Tables'!M91*'Payer Mix Worksheet'!M5</f>
        <v>269.38749999999999</v>
      </c>
      <c r="M24" s="90"/>
      <c r="N24" s="90"/>
      <c r="O24" s="123"/>
    </row>
    <row r="25" spans="1:15" x14ac:dyDescent="0.25">
      <c r="A25" s="12" t="s">
        <v>27</v>
      </c>
      <c r="B25" s="13" t="s">
        <v>0</v>
      </c>
      <c r="C25" s="27">
        <v>90723</v>
      </c>
      <c r="D25" s="41"/>
      <c r="E25" s="41"/>
      <c r="F25" s="41"/>
      <c r="G25" s="41"/>
      <c r="H25" s="41"/>
      <c r="I25" s="72" t="e">
        <f t="shared" si="0"/>
        <v>#DIV/0!</v>
      </c>
      <c r="J25" s="83"/>
      <c r="K25" s="87">
        <f>'Pricing Tables'!M84*'Payer Mix Worksheet'!M5</f>
        <v>129.52500000000001</v>
      </c>
      <c r="M25" s="90"/>
      <c r="N25" s="90"/>
      <c r="O25" s="123"/>
    </row>
    <row r="26" spans="1:15" x14ac:dyDescent="0.25">
      <c r="A26" s="12" t="s">
        <v>29</v>
      </c>
      <c r="B26" s="13" t="s">
        <v>30</v>
      </c>
      <c r="C26" s="27">
        <v>90698</v>
      </c>
      <c r="D26" s="41"/>
      <c r="E26" s="41"/>
      <c r="F26" s="41"/>
      <c r="G26" s="41"/>
      <c r="H26" s="87"/>
      <c r="I26" s="72" t="e">
        <f t="shared" si="0"/>
        <v>#DIV/0!</v>
      </c>
      <c r="J26" s="83"/>
      <c r="K26" s="87">
        <f>'Pricing Tables'!M36*'Payer Mix Worksheet'!M5</f>
        <v>150.07499999999999</v>
      </c>
      <c r="M26" s="90"/>
      <c r="N26" s="90"/>
      <c r="O26" s="123"/>
    </row>
    <row r="27" spans="1:15" x14ac:dyDescent="0.25">
      <c r="A27" s="12" t="s">
        <v>127</v>
      </c>
      <c r="B27" s="5" t="s">
        <v>126</v>
      </c>
      <c r="C27" s="24">
        <v>90697</v>
      </c>
      <c r="D27" s="41"/>
      <c r="E27" s="41"/>
      <c r="F27" s="41"/>
      <c r="G27" s="41"/>
      <c r="H27" s="87"/>
      <c r="I27" s="72" t="e">
        <f t="shared" ref="I27" si="3">((D27*D$4)+(E27*E$4)+(F27*F$4)+(G27*G$4)+(H27*H$4))+((1-I$4)*AVERAGE(D27:H27))</f>
        <v>#DIV/0!</v>
      </c>
      <c r="J27" s="83"/>
      <c r="K27" s="84">
        <f>'Pricing Tables'!M43*'Payer Mix Worksheet'!M5</f>
        <v>195.875</v>
      </c>
      <c r="M27" s="90"/>
      <c r="N27" s="90"/>
      <c r="O27" s="123"/>
    </row>
    <row r="28" spans="1:15" x14ac:dyDescent="0.25">
      <c r="A28" s="228" t="s">
        <v>31</v>
      </c>
      <c r="B28" s="5" t="s">
        <v>32</v>
      </c>
      <c r="C28" s="24">
        <v>90648</v>
      </c>
      <c r="D28" s="38"/>
      <c r="E28" s="38"/>
      <c r="F28" s="38"/>
      <c r="G28" s="38"/>
      <c r="H28" s="38"/>
      <c r="I28" s="69" t="e">
        <f t="shared" si="0"/>
        <v>#DIV/0!</v>
      </c>
      <c r="J28" s="83"/>
      <c r="K28" s="84">
        <f>'Pricing Tables'!M37*'Payer Mix Worksheet'!M5</f>
        <v>16.762499999999999</v>
      </c>
      <c r="M28" s="179"/>
      <c r="N28" s="90"/>
      <c r="O28" s="123"/>
    </row>
    <row r="29" spans="1:15" x14ac:dyDescent="0.25">
      <c r="A29" s="230"/>
      <c r="B29" s="8" t="s">
        <v>104</v>
      </c>
      <c r="C29" s="25">
        <v>90648</v>
      </c>
      <c r="D29" s="39"/>
      <c r="E29" s="39"/>
      <c r="F29" s="39"/>
      <c r="G29" s="39"/>
      <c r="H29" s="39"/>
      <c r="I29" s="70" t="e">
        <f>((D29*D$4)+(E29*E$4)+(F29*F$4)+(G29*G$4)+(H29*H$4))+((1-I$4)*AVERAGE(D29:H29))</f>
        <v>#DIV/0!</v>
      </c>
      <c r="J29" s="83"/>
      <c r="K29" s="85">
        <f>'Pricing Tables'!M85*'Payer Mix Worksheet'!M5</f>
        <v>16.462499999999999</v>
      </c>
      <c r="M29" s="179"/>
      <c r="N29" s="90"/>
      <c r="O29" s="123"/>
    </row>
    <row r="30" spans="1:15" x14ac:dyDescent="0.25">
      <c r="A30" s="229"/>
      <c r="B30" s="11" t="s">
        <v>41</v>
      </c>
      <c r="C30" s="26">
        <v>90647</v>
      </c>
      <c r="D30" s="40"/>
      <c r="E30" s="40"/>
      <c r="F30" s="40"/>
      <c r="G30" s="40"/>
      <c r="H30" s="40"/>
      <c r="I30" s="71" t="e">
        <f t="shared" si="0"/>
        <v>#DIV/0!</v>
      </c>
      <c r="J30" s="83"/>
      <c r="K30" s="86">
        <f>'Pricing Tables'!M10*'Payer Mix Worksheet'!M5</f>
        <v>38.224999999999994</v>
      </c>
      <c r="M30" s="179"/>
      <c r="N30" s="90"/>
      <c r="O30" s="123"/>
    </row>
    <row r="31" spans="1:15" x14ac:dyDescent="0.25">
      <c r="A31" s="228" t="s">
        <v>33</v>
      </c>
      <c r="B31" s="5" t="s">
        <v>1</v>
      </c>
      <c r="C31" s="34">
        <v>90700</v>
      </c>
      <c r="D31" s="42"/>
      <c r="E31" s="42"/>
      <c r="F31" s="42"/>
      <c r="G31" s="42"/>
      <c r="H31" s="42"/>
      <c r="I31" s="77" t="e">
        <f t="shared" si="0"/>
        <v>#DIV/0!</v>
      </c>
      <c r="J31" s="83"/>
      <c r="K31" s="88">
        <f>'Pricing Tables'!M86*'Payer Mix Worksheet'!M5</f>
        <v>36.987499999999997</v>
      </c>
      <c r="M31" s="184"/>
      <c r="N31" s="90"/>
      <c r="O31" s="180"/>
    </row>
    <row r="32" spans="1:15" x14ac:dyDescent="0.25">
      <c r="A32" s="230"/>
      <c r="B32" s="8" t="s">
        <v>34</v>
      </c>
      <c r="C32" s="36">
        <v>90700</v>
      </c>
      <c r="D32" s="42"/>
      <c r="E32" s="42"/>
      <c r="F32" s="42"/>
      <c r="G32" s="42"/>
      <c r="H32" s="42"/>
      <c r="I32" s="75" t="e">
        <f t="shared" si="0"/>
        <v>#DIV/0!</v>
      </c>
      <c r="J32" s="83"/>
      <c r="K32" s="88">
        <f>'Pricing Tables'!M35*'Payer Mix Worksheet'!M5</f>
        <v>37.987499999999997</v>
      </c>
      <c r="M32" s="184"/>
      <c r="N32" s="90"/>
      <c r="O32" s="180"/>
    </row>
    <row r="33" spans="1:15" x14ac:dyDescent="0.25">
      <c r="A33" s="230"/>
      <c r="B33" s="8" t="s">
        <v>2</v>
      </c>
      <c r="C33" s="25">
        <v>90696</v>
      </c>
      <c r="D33" s="42"/>
      <c r="E33" s="42"/>
      <c r="F33" s="42"/>
      <c r="G33" s="42"/>
      <c r="H33" s="42"/>
      <c r="I33" s="70" t="e">
        <f t="shared" si="0"/>
        <v>#DIV/0!</v>
      </c>
      <c r="J33" s="83"/>
      <c r="K33" s="88">
        <f>'Pricing Tables'!M87*'Payer Mix Worksheet'!M5</f>
        <v>78.525000000000006</v>
      </c>
      <c r="M33" s="184"/>
      <c r="N33" s="90"/>
      <c r="O33" s="123"/>
    </row>
    <row r="34" spans="1:15" x14ac:dyDescent="0.25">
      <c r="A34" s="230"/>
      <c r="B34" s="8" t="s">
        <v>79</v>
      </c>
      <c r="C34" s="25">
        <v>90696</v>
      </c>
      <c r="D34" s="42"/>
      <c r="E34" s="42"/>
      <c r="F34" s="42"/>
      <c r="G34" s="42"/>
      <c r="H34" s="42"/>
      <c r="I34" s="70" t="e">
        <f t="shared" si="0"/>
        <v>#DIV/0!</v>
      </c>
      <c r="J34" s="83"/>
      <c r="K34" s="88">
        <f>'Pricing Tables'!M39*'Payer Mix Worksheet'!M5</f>
        <v>80.712499999999991</v>
      </c>
      <c r="M34" s="184"/>
      <c r="N34" s="90"/>
      <c r="O34" s="123"/>
    </row>
    <row r="35" spans="1:15" x14ac:dyDescent="0.25">
      <c r="A35" s="229"/>
      <c r="B35" s="11" t="s">
        <v>5</v>
      </c>
      <c r="C35" s="26">
        <v>90713</v>
      </c>
      <c r="D35" s="43"/>
      <c r="E35" s="43"/>
      <c r="F35" s="43"/>
      <c r="G35" s="43"/>
      <c r="H35" s="43"/>
      <c r="I35" s="71" t="e">
        <f t="shared" si="0"/>
        <v>#DIV/0!</v>
      </c>
      <c r="J35" s="83"/>
      <c r="K35" s="89">
        <f>'Pricing Tables'!M40*'Payer Mix Worksheet'!M5</f>
        <v>55.912499999999994</v>
      </c>
      <c r="M35" s="184"/>
      <c r="N35" s="90"/>
      <c r="O35" s="123"/>
    </row>
    <row r="36" spans="1:15" x14ac:dyDescent="0.25">
      <c r="A36" s="4" t="s">
        <v>35</v>
      </c>
      <c r="B36" s="14" t="s">
        <v>121</v>
      </c>
      <c r="C36" s="28">
        <v>90714</v>
      </c>
      <c r="D36" s="38"/>
      <c r="E36" s="38"/>
      <c r="F36" s="38"/>
      <c r="G36" s="38"/>
      <c r="H36" s="38"/>
      <c r="I36" s="69" t="e">
        <f t="shared" si="0"/>
        <v>#DIV/0!</v>
      </c>
      <c r="J36" s="83"/>
      <c r="K36" s="84">
        <f>'Pricing Tables'!M33*'Payer Mix Worksheet'!M5</f>
        <v>50.387500000000003</v>
      </c>
      <c r="M36" s="181"/>
      <c r="N36" s="120"/>
      <c r="O36" s="182"/>
    </row>
    <row r="37" spans="1:15" x14ac:dyDescent="0.25">
      <c r="A37" s="228" t="s">
        <v>37</v>
      </c>
      <c r="B37" s="5" t="s">
        <v>45</v>
      </c>
      <c r="C37" s="34">
        <v>90715</v>
      </c>
      <c r="D37" s="38"/>
      <c r="E37" s="38"/>
      <c r="F37" s="38"/>
      <c r="G37" s="38"/>
      <c r="H37" s="38"/>
      <c r="I37" s="77" t="e">
        <f t="shared" si="0"/>
        <v>#DIV/0!</v>
      </c>
      <c r="J37" s="83"/>
      <c r="K37" s="84">
        <f>'Pricing Tables'!M34*'Payer Mix Worksheet'!M5</f>
        <v>61.5</v>
      </c>
      <c r="M37" s="179"/>
      <c r="N37" s="90"/>
      <c r="O37" s="180"/>
    </row>
    <row r="38" spans="1:15" x14ac:dyDescent="0.25">
      <c r="A38" s="229"/>
      <c r="B38" s="11" t="s">
        <v>4</v>
      </c>
      <c r="C38" s="35">
        <v>90715</v>
      </c>
      <c r="D38" s="40"/>
      <c r="E38" s="40"/>
      <c r="F38" s="40"/>
      <c r="G38" s="40"/>
      <c r="H38" s="40"/>
      <c r="I38" s="76" t="e">
        <f t="shared" si="0"/>
        <v>#DIV/0!</v>
      </c>
      <c r="J38" s="83"/>
      <c r="K38" s="86">
        <f>'Pricing Tables'!M88*'Payer Mix Worksheet'!M5</f>
        <v>60.9375</v>
      </c>
      <c r="M38" s="179"/>
      <c r="N38" s="90"/>
      <c r="O38" s="180"/>
    </row>
    <row r="39" spans="1:15" x14ac:dyDescent="0.25">
      <c r="A39" s="228" t="s">
        <v>91</v>
      </c>
      <c r="B39" s="5" t="s">
        <v>28</v>
      </c>
      <c r="C39" s="34">
        <v>90734</v>
      </c>
      <c r="D39" s="42"/>
      <c r="E39" s="42"/>
      <c r="F39" s="42"/>
      <c r="G39" s="42"/>
      <c r="H39" s="42"/>
      <c r="I39" s="77" t="e">
        <f t="shared" si="0"/>
        <v>#DIV/0!</v>
      </c>
      <c r="J39" s="83"/>
      <c r="K39" s="88">
        <f>'Pricing Tables'!M89*'Payer Mix Worksheet'!M5</f>
        <v>208.4375</v>
      </c>
      <c r="M39" s="179"/>
      <c r="N39" s="90"/>
      <c r="O39" s="180"/>
    </row>
    <row r="40" spans="1:15" x14ac:dyDescent="0.25">
      <c r="A40" s="229"/>
      <c r="B40" s="11" t="s">
        <v>125</v>
      </c>
      <c r="C40" s="35">
        <v>90619</v>
      </c>
      <c r="D40" s="43"/>
      <c r="E40" s="43"/>
      <c r="F40" s="43"/>
      <c r="G40" s="43"/>
      <c r="H40" s="43"/>
      <c r="I40" s="76" t="e">
        <f t="shared" si="0"/>
        <v>#DIV/0!</v>
      </c>
      <c r="J40" s="83"/>
      <c r="K40" s="89">
        <f>'Pricing Tables'!M38*'Payer Mix Worksheet'!M5</f>
        <v>214.96250000000001</v>
      </c>
      <c r="M40" s="179"/>
      <c r="N40" s="90"/>
      <c r="O40" s="180"/>
    </row>
    <row r="41" spans="1:15" x14ac:dyDescent="0.25">
      <c r="A41" s="198" t="s">
        <v>197</v>
      </c>
      <c r="B41" s="160" t="s">
        <v>188</v>
      </c>
      <c r="C41" s="199">
        <v>90623</v>
      </c>
      <c r="D41" s="171"/>
      <c r="E41" s="171"/>
      <c r="F41" s="171"/>
      <c r="G41" s="171"/>
      <c r="H41" s="171"/>
      <c r="I41" s="170" t="e">
        <f>((D41*D$4)+(E41*E$4)+(F41*F$4)+(G41*G$4)+(H41*H$4))+((1-I$4)*AVERAGE(D41:H41))</f>
        <v>#DIV/0!</v>
      </c>
      <c r="J41" s="83"/>
      <c r="K41" s="89">
        <f>'Pricing Tables'!M52*'Payer Mix Worksheet'!M5</f>
        <v>288.4375</v>
      </c>
      <c r="M41" s="179"/>
      <c r="N41" s="90"/>
      <c r="O41" s="183"/>
    </row>
    <row r="42" spans="1:15" x14ac:dyDescent="0.25">
      <c r="A42" s="228" t="s">
        <v>92</v>
      </c>
      <c r="B42" s="5" t="s">
        <v>87</v>
      </c>
      <c r="C42" s="200">
        <v>90621</v>
      </c>
      <c r="D42" s="38"/>
      <c r="E42" s="38"/>
      <c r="F42" s="38"/>
      <c r="G42" s="38"/>
      <c r="H42" s="38"/>
      <c r="I42" s="69" t="e">
        <f t="shared" si="0"/>
        <v>#DIV/0!</v>
      </c>
      <c r="J42" s="83"/>
      <c r="K42" s="84">
        <f>'Pricing Tables'!M47*'Payer Mix Worksheet'!M5</f>
        <v>259.14999999999998</v>
      </c>
      <c r="M42" s="185"/>
      <c r="N42" s="120"/>
      <c r="O42" s="186"/>
    </row>
    <row r="43" spans="1:15" x14ac:dyDescent="0.25">
      <c r="A43" s="230"/>
      <c r="B43" s="8" t="s">
        <v>86</v>
      </c>
      <c r="C43" s="161">
        <v>90620</v>
      </c>
      <c r="D43" s="39"/>
      <c r="E43" s="39"/>
      <c r="F43" s="39"/>
      <c r="G43" s="39"/>
      <c r="H43" s="39"/>
      <c r="I43" s="70" t="e">
        <f t="shared" si="0"/>
        <v>#DIV/0!</v>
      </c>
      <c r="J43" s="83"/>
      <c r="K43" s="85">
        <f>'Pricing Tables'!M90*'Payer Mix Worksheet'!M5</f>
        <v>296.41250000000002</v>
      </c>
      <c r="M43" s="179"/>
      <c r="N43" s="90"/>
      <c r="O43" s="183"/>
    </row>
    <row r="44" spans="1:15" x14ac:dyDescent="0.25">
      <c r="A44" s="234" t="s">
        <v>187</v>
      </c>
      <c r="B44" s="5" t="s">
        <v>145</v>
      </c>
      <c r="C44" s="24">
        <v>90677</v>
      </c>
      <c r="D44" s="91"/>
      <c r="E44" s="209"/>
      <c r="F44" s="209"/>
      <c r="G44" s="209"/>
      <c r="H44" s="209"/>
      <c r="I44" s="206" t="e">
        <f>((D44*D$4)+(E44*E$4)+(F44*F$4)+(G44*G$4)+(H44*H$4))+((1-I$4)*AVERAGE(D44:H44))</f>
        <v>#DIV/0!</v>
      </c>
      <c r="J44" s="120"/>
      <c r="K44" s="91">
        <f>'Pricing Tables'!M46*'Payer Mix Worksheet'!M5</f>
        <v>343.25</v>
      </c>
      <c r="M44" s="184"/>
      <c r="N44" s="90"/>
      <c r="O44" s="123"/>
    </row>
    <row r="45" spans="1:15" x14ac:dyDescent="0.25">
      <c r="A45" s="232"/>
      <c r="B45" s="8" t="s">
        <v>146</v>
      </c>
      <c r="C45" s="211">
        <v>90671</v>
      </c>
      <c r="D45" s="88"/>
      <c r="E45" s="210"/>
      <c r="F45" s="210"/>
      <c r="G45" s="210"/>
      <c r="H45" s="210"/>
      <c r="I45" s="207" t="e">
        <f>((D45*D$4)+(E45*E$4)+(F45*F$4)+(G45*G$4)+(H45*H$4))+((1-I$4)*AVERAGE(D45:H45))</f>
        <v>#DIV/0!</v>
      </c>
      <c r="J45" s="120"/>
      <c r="K45" s="88">
        <f>'Pricing Tables'!M13*'Payer Mix Worksheet'!M5</f>
        <v>286.5</v>
      </c>
      <c r="M45" s="184"/>
      <c r="N45" s="90"/>
      <c r="O45" s="123"/>
    </row>
    <row r="46" spans="1:15" x14ac:dyDescent="0.25">
      <c r="A46" s="233"/>
      <c r="B46" s="11" t="s">
        <v>212</v>
      </c>
      <c r="C46" s="205">
        <v>90684</v>
      </c>
      <c r="D46" s="208"/>
      <c r="E46" s="208"/>
      <c r="F46" s="208"/>
      <c r="G46" s="208"/>
      <c r="H46" s="208"/>
      <c r="I46" s="189" t="e">
        <f>((D46*D$4)+(E46*E$4)+(F46*F$4)+(G46*G$4)+(H46*H$4))+((1-I$4)*AVERAGE(D46:H46))</f>
        <v>#DIV/0!</v>
      </c>
      <c r="J46" s="120"/>
      <c r="K46" s="212">
        <f>'Pricing Tables'!D15*M5</f>
        <v>358.75</v>
      </c>
      <c r="M46" s="184"/>
      <c r="N46" s="90"/>
      <c r="O46" s="123"/>
    </row>
    <row r="47" spans="1:15" x14ac:dyDescent="0.25">
      <c r="A47" s="232" t="s">
        <v>175</v>
      </c>
      <c r="B47" s="120" t="s">
        <v>184</v>
      </c>
      <c r="C47" s="48" t="s">
        <v>199</v>
      </c>
      <c r="D47" s="173"/>
      <c r="E47" s="173"/>
      <c r="F47" s="173"/>
      <c r="G47" s="173"/>
      <c r="H47" s="173"/>
      <c r="I47" s="178" t="e">
        <f t="shared" ref="I47:I56" si="4">((D47*D$4)+(E47*E$4)+(F47*F$4)+(G47*G$4)+(H47*H$4))+((1-I$4)*AVERAGE(D47:H47))</f>
        <v>#DIV/0!</v>
      </c>
      <c r="J47" s="83"/>
      <c r="K47" s="33">
        <f>'Pricing Tables'!M41*'Payer Mix Worksheet'!M5</f>
        <v>695.16250000000002</v>
      </c>
      <c r="M47" s="184"/>
      <c r="N47" s="120"/>
      <c r="O47" s="123"/>
    </row>
    <row r="48" spans="1:15" x14ac:dyDescent="0.25">
      <c r="A48" s="232"/>
      <c r="B48" s="120" t="s">
        <v>185</v>
      </c>
      <c r="C48" s="48">
        <v>90678</v>
      </c>
      <c r="D48" s="173"/>
      <c r="E48" s="173"/>
      <c r="F48" s="173"/>
      <c r="G48" s="173"/>
      <c r="H48" s="173"/>
      <c r="I48" s="178" t="e">
        <f t="shared" si="4"/>
        <v>#DIV/0!</v>
      </c>
      <c r="J48" s="83"/>
      <c r="K48" s="33">
        <f>'Pricing Tables'!M51*'Payer Mix Worksheet'!M5</f>
        <v>383.5</v>
      </c>
      <c r="M48" s="184"/>
      <c r="N48" s="120"/>
      <c r="O48" s="123"/>
    </row>
    <row r="49" spans="1:15" x14ac:dyDescent="0.25">
      <c r="A49" s="232"/>
      <c r="B49" s="120" t="s">
        <v>186</v>
      </c>
      <c r="C49" s="48">
        <v>90679</v>
      </c>
      <c r="D49" s="173"/>
      <c r="E49" s="173"/>
      <c r="F49" s="173"/>
      <c r="G49" s="173"/>
      <c r="H49" s="173"/>
      <c r="I49" s="178" t="e">
        <f t="shared" si="4"/>
        <v>#DIV/0!</v>
      </c>
      <c r="J49" s="83"/>
      <c r="K49" s="176">
        <f>'Pricing Tables'!M93*'Payer Mix Worksheet'!M5</f>
        <v>367.5</v>
      </c>
      <c r="M49" s="184"/>
      <c r="N49" s="120"/>
      <c r="O49" s="123"/>
    </row>
    <row r="50" spans="1:15" x14ac:dyDescent="0.25">
      <c r="A50" s="233"/>
      <c r="B50" s="163" t="s">
        <v>217</v>
      </c>
      <c r="C50" s="49">
        <v>90683</v>
      </c>
      <c r="D50" s="174"/>
      <c r="E50" s="174"/>
      <c r="F50" s="174"/>
      <c r="G50" s="174"/>
      <c r="H50" s="174"/>
      <c r="I50" s="178" t="e">
        <f>((D50*D$4)+(E50*E$4)+(F50*F$4)+(G50*G$4)+(H50*H$4))+((1-I$4)*AVERAGE(D50:H50))</f>
        <v>#DIV/0!</v>
      </c>
      <c r="J50" s="83"/>
      <c r="K50" s="176">
        <f>'Pricing Tables'!D57*M5</f>
        <v>0</v>
      </c>
      <c r="M50" s="184"/>
      <c r="N50" s="120"/>
      <c r="O50" s="123"/>
    </row>
    <row r="51" spans="1:15" ht="15" customHeight="1" x14ac:dyDescent="0.25">
      <c r="A51" s="234" t="s">
        <v>176</v>
      </c>
      <c r="B51" s="162" t="s">
        <v>177</v>
      </c>
      <c r="C51" s="47">
        <v>91318</v>
      </c>
      <c r="D51" s="172"/>
      <c r="E51" s="172"/>
      <c r="F51" s="172"/>
      <c r="G51" s="172"/>
      <c r="H51" s="172"/>
      <c r="I51" s="193" t="e">
        <f t="shared" si="4"/>
        <v>#DIV/0!</v>
      </c>
      <c r="J51" s="53"/>
      <c r="K51" s="51">
        <f>'Pricing Tables'!M50*'Payer Mix Worksheet'!M5</f>
        <v>71.875</v>
      </c>
      <c r="M51" s="184"/>
      <c r="N51" s="120"/>
      <c r="O51" s="123"/>
    </row>
    <row r="52" spans="1:15" ht="15" customHeight="1" x14ac:dyDescent="0.25">
      <c r="A52" s="232"/>
      <c r="B52" s="120" t="s">
        <v>178</v>
      </c>
      <c r="C52" s="48">
        <v>91319</v>
      </c>
      <c r="D52" s="173"/>
      <c r="E52" s="173"/>
      <c r="F52" s="173"/>
      <c r="G52" s="173"/>
      <c r="H52" s="173"/>
      <c r="I52" s="178" t="e">
        <f t="shared" si="4"/>
        <v>#DIV/0!</v>
      </c>
      <c r="J52" s="83"/>
      <c r="K52" s="33">
        <f>'Pricing Tables'!M49*'Payer Mix Worksheet'!M5</f>
        <v>96.25</v>
      </c>
      <c r="M52" s="184"/>
      <c r="N52" s="120"/>
      <c r="O52" s="123"/>
    </row>
    <row r="53" spans="1:15" ht="15" customHeight="1" x14ac:dyDescent="0.25">
      <c r="A53" s="232"/>
      <c r="B53" s="120" t="s">
        <v>179</v>
      </c>
      <c r="C53" s="48">
        <v>91320</v>
      </c>
      <c r="D53" s="173"/>
      <c r="E53" s="173"/>
      <c r="F53" s="173"/>
      <c r="G53" s="173"/>
      <c r="H53" s="173"/>
      <c r="I53" s="178" t="e">
        <f t="shared" si="4"/>
        <v>#DIV/0!</v>
      </c>
      <c r="J53" s="83"/>
      <c r="K53" s="33">
        <f>'Pricing Tables'!M48*'Payer Mix Worksheet'!M5</f>
        <v>170.9375</v>
      </c>
      <c r="M53" s="184"/>
      <c r="N53" s="120"/>
      <c r="O53" s="123"/>
    </row>
    <row r="54" spans="1:15" ht="15" customHeight="1" x14ac:dyDescent="0.25">
      <c r="A54" s="232"/>
      <c r="B54" s="120" t="s">
        <v>180</v>
      </c>
      <c r="C54" s="48">
        <v>91321</v>
      </c>
      <c r="D54" s="173"/>
      <c r="E54" s="173"/>
      <c r="F54" s="173"/>
      <c r="G54" s="173"/>
      <c r="H54" s="173"/>
      <c r="I54" s="178" t="e">
        <f t="shared" si="4"/>
        <v>#DIV/0!</v>
      </c>
      <c r="J54" s="83"/>
      <c r="K54" s="176">
        <f>'Pricing Tables'!M56*'Payer Mix Worksheet'!M5</f>
        <v>161.25</v>
      </c>
      <c r="M54" s="184"/>
      <c r="N54" s="120"/>
      <c r="O54" s="123"/>
    </row>
    <row r="55" spans="1:15" ht="15" customHeight="1" x14ac:dyDescent="0.25">
      <c r="A55" s="232"/>
      <c r="B55" s="120" t="s">
        <v>181</v>
      </c>
      <c r="C55" s="48">
        <v>91322</v>
      </c>
      <c r="D55" s="173"/>
      <c r="E55" s="173"/>
      <c r="F55" s="173"/>
      <c r="G55" s="173"/>
      <c r="H55" s="173"/>
      <c r="I55" s="178" t="e">
        <f t="shared" si="4"/>
        <v>#DIV/0!</v>
      </c>
      <c r="J55" s="83"/>
      <c r="K55" s="176">
        <f>'Pricing Tables'!M55*'Payer Mix Worksheet'!M5</f>
        <v>177.25</v>
      </c>
      <c r="M55" s="184"/>
      <c r="N55" s="120"/>
      <c r="O55" s="123"/>
    </row>
    <row r="56" spans="1:15" ht="15" customHeight="1" x14ac:dyDescent="0.25">
      <c r="A56" s="233"/>
      <c r="B56" s="120" t="s">
        <v>216</v>
      </c>
      <c r="C56" s="48">
        <v>91304</v>
      </c>
      <c r="D56" s="173"/>
      <c r="E56" s="173"/>
      <c r="F56" s="173"/>
      <c r="G56" s="173"/>
      <c r="H56" s="173"/>
      <c r="I56" s="178" t="e">
        <f t="shared" si="4"/>
        <v>#DIV/0!</v>
      </c>
      <c r="J56" s="120"/>
      <c r="K56" s="176">
        <f>'Pricing Tables'!D63*M5</f>
        <v>177.125</v>
      </c>
      <c r="M56" s="184"/>
      <c r="N56" s="120"/>
      <c r="O56" s="123"/>
    </row>
    <row r="57" spans="1:15" ht="30" x14ac:dyDescent="0.25">
      <c r="A57" s="234" t="s">
        <v>171</v>
      </c>
      <c r="B57" s="5" t="s">
        <v>200</v>
      </c>
      <c r="C57" s="203" t="s">
        <v>211</v>
      </c>
      <c r="D57" s="172"/>
      <c r="E57" s="172"/>
      <c r="F57" s="172"/>
      <c r="G57" s="172"/>
      <c r="H57" s="172"/>
      <c r="I57" s="193" t="e">
        <f t="shared" ref="I57:I65" si="5">((D57*D$4)+(E57*E$4)+(F57*F$4)+(G57*G$4)+(H57*H$4))+((1-I$4)*AVERAGE(D57:H57))</f>
        <v>#DIV/0!</v>
      </c>
      <c r="J57" s="120"/>
      <c r="K57" s="177">
        <f>'Pricing Tables'!M66*'Payer Mix Worksheet'!M5</f>
        <v>25.848749999999999</v>
      </c>
      <c r="M57" s="184"/>
      <c r="N57" s="90"/>
      <c r="O57" s="123"/>
    </row>
    <row r="58" spans="1:15" ht="30" x14ac:dyDescent="0.25">
      <c r="A58" s="232"/>
      <c r="B58" s="8" t="s">
        <v>195</v>
      </c>
      <c r="C58" s="204" t="s">
        <v>211</v>
      </c>
      <c r="D58" s="173"/>
      <c r="E58" s="173"/>
      <c r="F58" s="173"/>
      <c r="G58" s="173"/>
      <c r="H58" s="173"/>
      <c r="I58" s="178" t="e">
        <f t="shared" si="5"/>
        <v>#DIV/0!</v>
      </c>
      <c r="J58" s="120"/>
      <c r="K58" s="176">
        <f>'Pricing Tables'!M70*'Payer Mix Worksheet'!M5</f>
        <v>24.662500000000001</v>
      </c>
    </row>
    <row r="59" spans="1:15" ht="30" x14ac:dyDescent="0.25">
      <c r="A59" s="232"/>
      <c r="B59" s="8" t="s">
        <v>196</v>
      </c>
      <c r="C59" s="204" t="s">
        <v>211</v>
      </c>
      <c r="D59" s="173"/>
      <c r="E59" s="173"/>
      <c r="F59" s="173"/>
      <c r="G59" s="173"/>
      <c r="H59" s="173"/>
      <c r="I59" s="178" t="e">
        <f t="shared" si="5"/>
        <v>#DIV/0!</v>
      </c>
      <c r="J59" s="120"/>
      <c r="K59" s="176">
        <f>'Pricing Tables'!M71*'Payer Mix Worksheet'!M5</f>
        <v>24.662500000000001</v>
      </c>
    </row>
    <row r="60" spans="1:15" ht="30" x14ac:dyDescent="0.25">
      <c r="A60" s="232"/>
      <c r="B60" s="8" t="s">
        <v>208</v>
      </c>
      <c r="C60" s="204" t="s">
        <v>211</v>
      </c>
      <c r="D60" s="173"/>
      <c r="E60" s="173"/>
      <c r="F60" s="173"/>
      <c r="G60" s="173"/>
      <c r="H60" s="173"/>
      <c r="I60" s="178" t="e">
        <f t="shared" si="5"/>
        <v>#DIV/0!</v>
      </c>
      <c r="J60" s="90"/>
      <c r="K60" s="176">
        <f>'Pricing Tables'!M73*'Payer Mix Worksheet'!M5</f>
        <v>26.987500000000001</v>
      </c>
    </row>
    <row r="61" spans="1:15" x14ac:dyDescent="0.25">
      <c r="A61" s="232"/>
      <c r="B61" s="8" t="s">
        <v>193</v>
      </c>
      <c r="C61" s="48">
        <v>90660</v>
      </c>
      <c r="D61" s="173"/>
      <c r="E61" s="173"/>
      <c r="F61" s="173"/>
      <c r="G61" s="173"/>
      <c r="H61" s="173"/>
      <c r="I61" s="178" t="e">
        <f t="shared" si="5"/>
        <v>#DIV/0!</v>
      </c>
      <c r="J61" s="120"/>
      <c r="K61" s="176">
        <f>'Pricing Tables'!M69*'Payer Mix Worksheet'!M5</f>
        <v>30.875</v>
      </c>
    </row>
    <row r="62" spans="1:15" ht="15" customHeight="1" x14ac:dyDescent="0.25">
      <c r="A62" s="232"/>
      <c r="B62" s="8" t="s">
        <v>201</v>
      </c>
      <c r="C62" s="48">
        <v>90662</v>
      </c>
      <c r="D62" s="173"/>
      <c r="E62" s="173"/>
      <c r="F62" s="173"/>
      <c r="G62" s="173"/>
      <c r="H62" s="173"/>
      <c r="I62" s="178" t="e">
        <f t="shared" si="5"/>
        <v>#DIV/0!</v>
      </c>
      <c r="J62" s="120"/>
      <c r="K62" s="176">
        <f>'Pricing Tables'!M67*'Payer Mix Worksheet'!M5</f>
        <v>91.753750000000011</v>
      </c>
    </row>
    <row r="63" spans="1:15" x14ac:dyDescent="0.25">
      <c r="A63" s="232"/>
      <c r="B63" s="8" t="s">
        <v>205</v>
      </c>
      <c r="C63" s="48">
        <v>90673</v>
      </c>
      <c r="D63" s="173"/>
      <c r="E63" s="173"/>
      <c r="F63" s="173"/>
      <c r="G63" s="173"/>
      <c r="H63" s="173"/>
      <c r="I63" s="178" t="e">
        <f t="shared" si="5"/>
        <v>#DIV/0!</v>
      </c>
      <c r="J63" s="120"/>
      <c r="K63" s="176">
        <f>'Pricing Tables'!M68*'Payer Mix Worksheet'!M5</f>
        <v>91.753750000000011</v>
      </c>
    </row>
    <row r="64" spans="1:15" x14ac:dyDescent="0.25">
      <c r="A64" s="232"/>
      <c r="B64" s="8" t="s">
        <v>209</v>
      </c>
      <c r="C64" s="48">
        <v>90653</v>
      </c>
      <c r="D64" s="173"/>
      <c r="E64" s="173"/>
      <c r="F64" s="173"/>
      <c r="G64" s="173"/>
      <c r="H64" s="173"/>
      <c r="I64" s="178" t="e">
        <f t="shared" si="5"/>
        <v>#DIV/0!</v>
      </c>
      <c r="J64" s="120"/>
      <c r="K64" s="176">
        <f>'Pricing Tables'!D74*'Payer Mix Worksheet'!M5</f>
        <v>85.287500000000009</v>
      </c>
    </row>
    <row r="65" spans="1:11" ht="15" customHeight="1" x14ac:dyDescent="0.25">
      <c r="A65" s="233"/>
      <c r="B65" s="11" t="s">
        <v>207</v>
      </c>
      <c r="C65" s="49">
        <v>90661</v>
      </c>
      <c r="D65" s="174"/>
      <c r="E65" s="174"/>
      <c r="F65" s="174"/>
      <c r="G65" s="174"/>
      <c r="H65" s="174"/>
      <c r="I65" s="189" t="e">
        <f t="shared" si="5"/>
        <v>#DIV/0!</v>
      </c>
      <c r="J65" s="90"/>
      <c r="K65" s="175">
        <f>'Pricing Tables'!M72*'Payer Mix Worksheet'!M5</f>
        <v>40.5625</v>
      </c>
    </row>
    <row r="85" spans="1:11" hidden="1" x14ac:dyDescent="0.25">
      <c r="A85" s="232"/>
      <c r="B85" s="120"/>
      <c r="C85" s="48"/>
      <c r="K85" s="192">
        <f>'Pricing Tables'!M75*'Payer Mix Worksheet'!M8</f>
        <v>0</v>
      </c>
    </row>
    <row r="86" spans="1:11" ht="60" hidden="1" x14ac:dyDescent="0.25">
      <c r="A86" s="233" t="s">
        <v>93</v>
      </c>
      <c r="B86" s="163"/>
      <c r="C86" s="49" t="s">
        <v>42</v>
      </c>
      <c r="D86" s="37" t="str">
        <f>D3</f>
        <v>Payer 1 Name</v>
      </c>
      <c r="E86" s="37" t="str">
        <f>E3</f>
        <v>Payer 2 Name</v>
      </c>
      <c r="F86" s="37" t="str">
        <f>F3</f>
        <v>Payer 3 Name</v>
      </c>
      <c r="G86" s="37" t="str">
        <f>G3</f>
        <v>Payer 4 Name</v>
      </c>
      <c r="H86" s="37" t="str">
        <f>H3</f>
        <v>Payer 5 Name</v>
      </c>
      <c r="I86" s="67" t="s">
        <v>102</v>
      </c>
      <c r="K86" s="192">
        <f>'Pricing Tables'!M76*'Payer Mix Worksheet'!M9</f>
        <v>0</v>
      </c>
    </row>
    <row r="87" spans="1:11" ht="30" hidden="1" x14ac:dyDescent="0.25">
      <c r="A87" s="194" t="s">
        <v>94</v>
      </c>
      <c r="B87" s="162" t="s">
        <v>95</v>
      </c>
      <c r="C87" s="47">
        <v>90460</v>
      </c>
      <c r="D87" s="92">
        <v>10</v>
      </c>
      <c r="E87" s="92"/>
      <c r="F87" s="92"/>
      <c r="G87" s="92"/>
      <c r="H87" s="91"/>
      <c r="I87" s="77">
        <f t="shared" ref="I87:I92" si="6">((D87*D$4)+(E87*E$4)+(F87*F$4)+(G87*G$4)+(H87*H$4))+((1-I$4)*AVERAGE(D87:H87))</f>
        <v>10</v>
      </c>
      <c r="J87" s="90"/>
      <c r="K87" s="192" t="e">
        <f>'Pricing Tables'!M77*'Payer Mix Worksheet'!M10</f>
        <v>#VALUE!</v>
      </c>
    </row>
    <row r="88" spans="1:11" hidden="1" x14ac:dyDescent="0.25">
      <c r="A88" s="191"/>
      <c r="B88" s="120" t="s">
        <v>96</v>
      </c>
      <c r="C88" s="48">
        <v>90461</v>
      </c>
      <c r="D88" s="43">
        <v>5</v>
      </c>
      <c r="E88" s="43"/>
      <c r="F88" s="43"/>
      <c r="G88" s="43"/>
      <c r="H88" s="89"/>
      <c r="I88" s="76">
        <f t="shared" si="6"/>
        <v>5</v>
      </c>
      <c r="J88" s="90"/>
      <c r="K88" s="192">
        <f>'Pricing Tables'!M78*'Payer Mix Worksheet'!M11</f>
        <v>0</v>
      </c>
    </row>
    <row r="89" spans="1:11" ht="45" hidden="1" x14ac:dyDescent="0.25">
      <c r="A89" s="191" t="s">
        <v>99</v>
      </c>
      <c r="B89" s="120" t="s">
        <v>97</v>
      </c>
      <c r="C89" s="48">
        <v>90471</v>
      </c>
      <c r="D89" s="92">
        <v>10</v>
      </c>
      <c r="E89" s="92"/>
      <c r="F89" s="92"/>
      <c r="G89" s="92"/>
      <c r="H89" s="91"/>
      <c r="I89" s="77">
        <f t="shared" si="6"/>
        <v>10</v>
      </c>
      <c r="J89" s="90"/>
      <c r="K89" s="192">
        <f>'Pricing Tables'!M79*'Payer Mix Worksheet'!M12</f>
        <v>0</v>
      </c>
    </row>
    <row r="90" spans="1:11" hidden="1" x14ac:dyDescent="0.25">
      <c r="A90" s="191"/>
      <c r="B90" s="120" t="s">
        <v>98</v>
      </c>
      <c r="C90" s="48">
        <v>90472</v>
      </c>
      <c r="D90" s="43">
        <v>5</v>
      </c>
      <c r="E90" s="43"/>
      <c r="F90" s="43"/>
      <c r="G90" s="43"/>
      <c r="H90" s="89"/>
      <c r="I90" s="76">
        <f t="shared" si="6"/>
        <v>5</v>
      </c>
      <c r="J90" s="90"/>
      <c r="K90" s="192">
        <f>'Pricing Tables'!M80*'Payer Mix Worksheet'!M13</f>
        <v>0</v>
      </c>
    </row>
    <row r="91" spans="1:11" ht="45" hidden="1" x14ac:dyDescent="0.25">
      <c r="A91" s="195" t="s">
        <v>99</v>
      </c>
      <c r="B91" s="120" t="s">
        <v>100</v>
      </c>
      <c r="C91" s="49">
        <v>90473</v>
      </c>
      <c r="D91" s="42">
        <v>10</v>
      </c>
      <c r="E91" s="42"/>
      <c r="F91" s="42"/>
      <c r="G91" s="42"/>
      <c r="H91" s="88"/>
      <c r="I91" s="77">
        <f t="shared" si="6"/>
        <v>10</v>
      </c>
      <c r="J91" s="90"/>
      <c r="K91" s="192">
        <f>'Pricing Tables'!M81*'Payer Mix Worksheet'!M14</f>
        <v>0</v>
      </c>
    </row>
    <row r="92" spans="1:11" hidden="1" x14ac:dyDescent="0.25">
      <c r="A92" s="128"/>
      <c r="B92" s="162" t="s">
        <v>101</v>
      </c>
      <c r="C92" s="47">
        <v>90474</v>
      </c>
      <c r="D92" s="43">
        <v>5</v>
      </c>
      <c r="E92" s="43"/>
      <c r="F92" s="43"/>
      <c r="G92" s="43"/>
      <c r="H92" s="89"/>
      <c r="I92" s="76">
        <f t="shared" si="6"/>
        <v>5</v>
      </c>
      <c r="J92" s="90"/>
      <c r="K92" s="192">
        <f>'Pricing Tables'!M82*'Payer Mix Worksheet'!M15</f>
        <v>0</v>
      </c>
    </row>
  </sheetData>
  <mergeCells count="16">
    <mergeCell ref="A28:A30"/>
    <mergeCell ref="A31:A35"/>
    <mergeCell ref="A37:A38"/>
    <mergeCell ref="A39:A40"/>
    <mergeCell ref="A42:A43"/>
    <mergeCell ref="A85:A86"/>
    <mergeCell ref="A57:A65"/>
    <mergeCell ref="A51:A56"/>
    <mergeCell ref="A47:A50"/>
    <mergeCell ref="A44:A46"/>
    <mergeCell ref="A1:K1"/>
    <mergeCell ref="D2:H2"/>
    <mergeCell ref="A10:A11"/>
    <mergeCell ref="A12:A15"/>
    <mergeCell ref="A16:A20"/>
    <mergeCell ref="B4:C4"/>
  </mergeCells>
  <conditionalFormatting sqref="D4:H4">
    <cfRule type="containsBlanks" dxfId="17" priority="111">
      <formula>LEN(TRIM(D4))=0</formula>
    </cfRule>
  </conditionalFormatting>
  <conditionalFormatting sqref="D6:H46">
    <cfRule type="containsBlanks" dxfId="16" priority="1">
      <formula>LEN(TRIM(D6))=0</formula>
    </cfRule>
    <cfRule type="expression" dxfId="15" priority="2">
      <formula>D6&lt;$K6</formula>
    </cfRule>
    <cfRule type="expression" dxfId="14" priority="3">
      <formula>D6&gt;$K6</formula>
    </cfRule>
    <cfRule type="expression" dxfId="13" priority="4">
      <formula>D6=0</formula>
    </cfRule>
  </conditionalFormatting>
  <conditionalFormatting sqref="D87:H92">
    <cfRule type="containsBlanks" dxfId="12" priority="109">
      <formula>LEN(TRIM(D87))=0</formula>
    </cfRule>
    <cfRule type="expression" dxfId="11" priority="112">
      <formula>D87&lt;$K87</formula>
    </cfRule>
    <cfRule type="expression" dxfId="10" priority="118">
      <formula>D87&gt;$K87</formula>
    </cfRule>
    <cfRule type="expression" dxfId="9" priority="119">
      <formula>D87=0</formula>
    </cfRule>
  </conditionalFormatting>
  <conditionalFormatting sqref="K6:K46">
    <cfRule type="containsBlanks" dxfId="8" priority="5">
      <formula>LEN(TRIM(K6))=0</formula>
    </cfRule>
    <cfRule type="expression" dxfId="7" priority="6">
      <formula>K6&lt;$K6</formula>
    </cfRule>
    <cfRule type="expression" dxfId="6" priority="7">
      <formula>K6&gt;$K6</formula>
    </cfRule>
    <cfRule type="expression" dxfId="5" priority="8">
      <formula>K6=0</formula>
    </cfRule>
  </conditionalFormatting>
  <printOptions horizontalCentered="1" verticalCentered="1"/>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1"/>
  <sheetViews>
    <sheetView workbookViewId="0">
      <selection activeCell="E23" sqref="E23"/>
    </sheetView>
  </sheetViews>
  <sheetFormatPr defaultRowHeight="15" x14ac:dyDescent="0.25"/>
  <cols>
    <col min="1" max="1" width="20.42578125" bestFit="1" customWidth="1"/>
    <col min="2" max="2" width="14.7109375" bestFit="1" customWidth="1"/>
    <col min="3" max="3" width="9.5703125" bestFit="1" customWidth="1"/>
    <col min="5" max="5" width="10.5703125" bestFit="1" customWidth="1"/>
    <col min="6" max="6" width="1.5703125" customWidth="1"/>
    <col min="10" max="10" width="11.5703125" bestFit="1" customWidth="1"/>
    <col min="11" max="11" width="1.5703125" customWidth="1"/>
    <col min="12" max="12" width="7.85546875" bestFit="1" customWidth="1"/>
    <col min="15" max="15" width="10.5703125" bestFit="1" customWidth="1"/>
    <col min="16" max="16" width="1.5703125" customWidth="1"/>
    <col min="20" max="20" width="11.28515625" bestFit="1" customWidth="1"/>
  </cols>
  <sheetData>
    <row r="1" spans="1:20" ht="32.25" customHeight="1" x14ac:dyDescent="0.25">
      <c r="A1" s="4"/>
      <c r="B1" s="96"/>
      <c r="C1" s="235" t="s">
        <v>128</v>
      </c>
      <c r="D1" s="236"/>
      <c r="E1" s="237"/>
      <c r="F1" s="51"/>
      <c r="G1" s="238" t="s">
        <v>135</v>
      </c>
      <c r="H1" s="239"/>
      <c r="I1" s="239"/>
      <c r="J1" s="240"/>
      <c r="K1" s="51"/>
      <c r="L1" s="238" t="s">
        <v>136</v>
      </c>
      <c r="M1" s="239"/>
      <c r="N1" s="239"/>
      <c r="O1" s="240"/>
      <c r="Q1" s="238" t="s">
        <v>143</v>
      </c>
      <c r="R1" s="239"/>
      <c r="S1" s="239"/>
      <c r="T1" s="240"/>
    </row>
    <row r="2" spans="1:20" ht="45" x14ac:dyDescent="0.25">
      <c r="A2" s="1" t="s">
        <v>134</v>
      </c>
      <c r="B2" s="2" t="s">
        <v>7</v>
      </c>
      <c r="C2" s="121" t="s">
        <v>130</v>
      </c>
      <c r="D2" s="112" t="s">
        <v>129</v>
      </c>
      <c r="E2" s="113" t="s">
        <v>52</v>
      </c>
      <c r="F2" s="33"/>
      <c r="G2" s="111" t="s">
        <v>137</v>
      </c>
      <c r="H2" s="112" t="s">
        <v>130</v>
      </c>
      <c r="I2" s="112" t="s">
        <v>129</v>
      </c>
      <c r="J2" s="113" t="s">
        <v>52</v>
      </c>
      <c r="K2" s="33"/>
      <c r="L2" s="111" t="s">
        <v>138</v>
      </c>
      <c r="M2" s="112" t="s">
        <v>130</v>
      </c>
      <c r="N2" s="112" t="s">
        <v>129</v>
      </c>
      <c r="O2" s="113" t="s">
        <v>52</v>
      </c>
      <c r="Q2" s="111" t="s">
        <v>144</v>
      </c>
      <c r="R2" s="112" t="s">
        <v>130</v>
      </c>
      <c r="S2" s="112" t="s">
        <v>129</v>
      </c>
      <c r="T2" s="113" t="s">
        <v>52</v>
      </c>
    </row>
    <row r="3" spans="1:20" x14ac:dyDescent="0.25">
      <c r="A3" s="7" t="s">
        <v>133</v>
      </c>
      <c r="B3" s="90" t="s">
        <v>131</v>
      </c>
      <c r="C3" s="122">
        <v>500</v>
      </c>
      <c r="D3" s="82" t="e">
        <f>#REF!</f>
        <v>#REF!</v>
      </c>
      <c r="E3" s="107" t="e">
        <f>D3*C3</f>
        <v>#REF!</v>
      </c>
      <c r="F3" s="33"/>
      <c r="G3" s="114">
        <v>0.25</v>
      </c>
      <c r="H3" s="110">
        <f>IF(G3&lt;0.75,(((H6-((H6+H7)/4))/2)+(C3-(0.5*C6))),(C3-(0.5*C6)))</f>
        <v>250</v>
      </c>
      <c r="I3" s="97" t="e">
        <f>#REF!</f>
        <v>#REF!</v>
      </c>
      <c r="J3" s="107" t="e">
        <f>I3*H3</f>
        <v>#REF!</v>
      </c>
      <c r="K3" s="33"/>
      <c r="L3" s="114">
        <v>0.75</v>
      </c>
      <c r="M3" s="110">
        <f>IF(L3&lt;0.75,(((M6-((M6+M7)/4))/2)+(C3-(0.5*C6))),(C3-(0.5*C6)))</f>
        <v>0</v>
      </c>
      <c r="N3" s="97" t="e">
        <f>#REF!</f>
        <v>#REF!</v>
      </c>
      <c r="O3" s="107" t="e">
        <f>N3*M3</f>
        <v>#REF!</v>
      </c>
      <c r="Q3" s="114">
        <v>1</v>
      </c>
      <c r="R3" s="110">
        <f>IF(Q3&lt;0.75,(((R6-((R6+R7)/4))/2)+(C3-(0.5*C6))),(C3-(0.5*C6)))</f>
        <v>0</v>
      </c>
      <c r="S3" s="97" t="e">
        <f>#REF!</f>
        <v>#REF!</v>
      </c>
      <c r="T3" s="107" t="e">
        <f>S3*R3</f>
        <v>#REF!</v>
      </c>
    </row>
    <row r="4" spans="1:20" x14ac:dyDescent="0.25">
      <c r="A4" s="7" t="s">
        <v>142</v>
      </c>
      <c r="B4" s="120" t="s">
        <v>34</v>
      </c>
      <c r="C4" s="122">
        <v>0</v>
      </c>
      <c r="D4" s="82" t="e">
        <f>#REF!</f>
        <v>#REF!</v>
      </c>
      <c r="E4" s="107" t="e">
        <f t="shared" ref="E4:E7" si="0">D4*C4</f>
        <v>#REF!</v>
      </c>
      <c r="F4" s="33"/>
      <c r="G4" s="7"/>
      <c r="H4" s="110">
        <f>C4</f>
        <v>0</v>
      </c>
      <c r="I4" s="97" t="e">
        <f>#REF!</f>
        <v>#REF!</v>
      </c>
      <c r="J4" s="107" t="e">
        <f t="shared" ref="J4:J7" si="1">I4*H4</f>
        <v>#REF!</v>
      </c>
      <c r="K4" s="33"/>
      <c r="L4" s="7"/>
      <c r="M4" s="110">
        <f>C4</f>
        <v>0</v>
      </c>
      <c r="N4" s="97" t="e">
        <f>#REF!</f>
        <v>#REF!</v>
      </c>
      <c r="O4" s="107" t="e">
        <f t="shared" ref="O4:O7" si="2">N4*M4</f>
        <v>#REF!</v>
      </c>
      <c r="Q4" s="7"/>
      <c r="R4" s="110">
        <f>((Q3-0.75)*C6)+C4</f>
        <v>250</v>
      </c>
      <c r="S4" s="97" t="e">
        <f>#REF!</f>
        <v>#REF!</v>
      </c>
      <c r="T4" s="107" t="e">
        <f t="shared" ref="T4:T7" si="3">S4*R4</f>
        <v>#REF!</v>
      </c>
    </row>
    <row r="5" spans="1:20" x14ac:dyDescent="0.25">
      <c r="A5" s="7" t="s">
        <v>31</v>
      </c>
      <c r="B5" s="90" t="s">
        <v>32</v>
      </c>
      <c r="C5" s="122">
        <v>0</v>
      </c>
      <c r="D5" s="82" t="e">
        <f>#REF!</f>
        <v>#REF!</v>
      </c>
      <c r="E5" s="107" t="e">
        <f t="shared" si="0"/>
        <v>#REF!</v>
      </c>
      <c r="F5" s="33"/>
      <c r="G5" s="7"/>
      <c r="H5" s="110">
        <f>C5</f>
        <v>0</v>
      </c>
      <c r="I5" s="97" t="e">
        <f>#REF!</f>
        <v>#REF!</v>
      </c>
      <c r="J5" s="107" t="e">
        <f t="shared" si="1"/>
        <v>#REF!</v>
      </c>
      <c r="K5" s="33"/>
      <c r="L5" s="7"/>
      <c r="M5" s="110">
        <f>C5</f>
        <v>0</v>
      </c>
      <c r="N5" s="97" t="e">
        <f>#REF!</f>
        <v>#REF!</v>
      </c>
      <c r="O5" s="107" t="e">
        <f t="shared" si="2"/>
        <v>#REF!</v>
      </c>
      <c r="Q5" s="7"/>
      <c r="R5" s="110">
        <f>((Q3-0.75)*C6)+C5</f>
        <v>250</v>
      </c>
      <c r="S5" s="97" t="e">
        <f>#REF!</f>
        <v>#REF!</v>
      </c>
      <c r="T5" s="107" t="e">
        <f t="shared" si="3"/>
        <v>#REF!</v>
      </c>
    </row>
    <row r="6" spans="1:20" x14ac:dyDescent="0.25">
      <c r="A6" s="7" t="s">
        <v>29</v>
      </c>
      <c r="B6" s="90" t="s">
        <v>30</v>
      </c>
      <c r="C6" s="122">
        <v>1000</v>
      </c>
      <c r="D6" s="82" t="e">
        <f>#REF!</f>
        <v>#REF!</v>
      </c>
      <c r="E6" s="107" t="e">
        <f t="shared" si="0"/>
        <v>#REF!</v>
      </c>
      <c r="F6" s="33"/>
      <c r="G6" s="7"/>
      <c r="H6" s="110">
        <f>(1-G3)*C6</f>
        <v>750</v>
      </c>
      <c r="I6" s="97" t="e">
        <f>#REF!</f>
        <v>#REF!</v>
      </c>
      <c r="J6" s="107" t="e">
        <f t="shared" si="1"/>
        <v>#REF!</v>
      </c>
      <c r="K6" s="33"/>
      <c r="L6" s="7"/>
      <c r="M6" s="110">
        <f>(1-L3)*C6</f>
        <v>250</v>
      </c>
      <c r="N6" s="97" t="e">
        <f>#REF!</f>
        <v>#REF!</v>
      </c>
      <c r="O6" s="107" t="e">
        <f t="shared" si="2"/>
        <v>#REF!</v>
      </c>
      <c r="Q6" s="7"/>
      <c r="R6" s="110">
        <f>(1-Q3)*C6</f>
        <v>0</v>
      </c>
      <c r="S6" s="97" t="e">
        <f>#REF!</f>
        <v>#REF!</v>
      </c>
      <c r="T6" s="107" t="e">
        <f t="shared" si="3"/>
        <v>#REF!</v>
      </c>
    </row>
    <row r="7" spans="1:20" x14ac:dyDescent="0.25">
      <c r="A7" s="7" t="s">
        <v>127</v>
      </c>
      <c r="B7" s="90" t="s">
        <v>126</v>
      </c>
      <c r="C7" s="122">
        <v>0</v>
      </c>
      <c r="D7" s="82">
        <v>0</v>
      </c>
      <c r="E7" s="107">
        <f t="shared" si="0"/>
        <v>0</v>
      </c>
      <c r="F7" s="33"/>
      <c r="G7" s="7"/>
      <c r="H7" s="110">
        <f>(G3*C6)</f>
        <v>250</v>
      </c>
      <c r="I7" s="97" t="e">
        <f>#REF!</f>
        <v>#REF!</v>
      </c>
      <c r="J7" s="107" t="e">
        <f t="shared" si="1"/>
        <v>#REF!</v>
      </c>
      <c r="K7" s="33"/>
      <c r="L7" s="7"/>
      <c r="M7" s="110">
        <f>(L3*C6)</f>
        <v>750</v>
      </c>
      <c r="N7" s="97" t="e">
        <f>#REF!</f>
        <v>#REF!</v>
      </c>
      <c r="O7" s="107" t="e">
        <f t="shared" si="2"/>
        <v>#REF!</v>
      </c>
      <c r="Q7" s="7"/>
      <c r="R7" s="110">
        <f>((Q3-0.25)*C6)</f>
        <v>750</v>
      </c>
      <c r="S7" s="97" t="e">
        <f>#REF!</f>
        <v>#REF!</v>
      </c>
      <c r="T7" s="107" t="e">
        <f t="shared" si="3"/>
        <v>#REF!</v>
      </c>
    </row>
    <row r="8" spans="1:20" x14ac:dyDescent="0.25">
      <c r="A8" s="7"/>
      <c r="B8" s="90"/>
      <c r="C8" s="7"/>
      <c r="D8" s="90"/>
      <c r="E8" s="8"/>
      <c r="F8" s="33"/>
      <c r="G8" s="7"/>
      <c r="H8" s="90"/>
      <c r="I8" s="90"/>
      <c r="J8" s="8"/>
      <c r="K8" s="33"/>
      <c r="L8" s="7"/>
      <c r="M8" s="90"/>
      <c r="N8" s="90"/>
      <c r="O8" s="8"/>
      <c r="Q8" s="7"/>
      <c r="R8" s="90"/>
      <c r="S8" s="90"/>
      <c r="T8" s="8"/>
    </row>
    <row r="9" spans="1:20" x14ac:dyDescent="0.25">
      <c r="A9" s="117" t="s">
        <v>139</v>
      </c>
      <c r="B9" s="99"/>
      <c r="C9" s="98"/>
      <c r="D9" s="99"/>
      <c r="E9" s="100" t="e">
        <f>SUM(E3:E8)</f>
        <v>#REF!</v>
      </c>
      <c r="F9" s="115"/>
      <c r="G9" s="98"/>
      <c r="H9" s="99"/>
      <c r="I9" s="99"/>
      <c r="J9" s="100" t="e">
        <f>SUM(J3:J8)</f>
        <v>#REF!</v>
      </c>
      <c r="K9" s="115"/>
      <c r="L9" s="98"/>
      <c r="M9" s="99"/>
      <c r="N9" s="99"/>
      <c r="O9" s="100" t="e">
        <f>SUM(O3:O8)</f>
        <v>#REF!</v>
      </c>
      <c r="Q9" s="98"/>
      <c r="R9" s="99"/>
      <c r="S9" s="99"/>
      <c r="T9" s="100" t="e">
        <f>SUM(T3:T8)</f>
        <v>#REF!</v>
      </c>
    </row>
    <row r="10" spans="1:20" x14ac:dyDescent="0.25">
      <c r="A10" s="118" t="s">
        <v>140</v>
      </c>
      <c r="B10" s="102"/>
      <c r="C10" s="101"/>
      <c r="D10" s="102"/>
      <c r="E10" s="108"/>
      <c r="F10" s="115"/>
      <c r="G10" s="101"/>
      <c r="H10" s="102"/>
      <c r="I10" s="102"/>
      <c r="J10" s="103" t="e">
        <f>J9-E9</f>
        <v>#REF!</v>
      </c>
      <c r="K10" s="115"/>
      <c r="L10" s="101"/>
      <c r="M10" s="102"/>
      <c r="N10" s="102"/>
      <c r="O10" s="103" t="e">
        <f>O9-E9</f>
        <v>#REF!</v>
      </c>
      <c r="Q10" s="101"/>
      <c r="R10" s="102"/>
      <c r="S10" s="102"/>
      <c r="T10" s="103" t="e">
        <f>T9-J9</f>
        <v>#REF!</v>
      </c>
    </row>
    <row r="11" spans="1:20" x14ac:dyDescent="0.25">
      <c r="A11" s="119" t="s">
        <v>141</v>
      </c>
      <c r="B11" s="105"/>
      <c r="C11" s="104"/>
      <c r="D11" s="105"/>
      <c r="E11" s="109"/>
      <c r="F11" s="116"/>
      <c r="G11" s="104"/>
      <c r="H11" s="105"/>
      <c r="I11" s="105"/>
      <c r="J11" s="106" t="e">
        <f>J10/E9</f>
        <v>#REF!</v>
      </c>
      <c r="K11" s="116"/>
      <c r="L11" s="104"/>
      <c r="M11" s="105"/>
      <c r="N11" s="105"/>
      <c r="O11" s="106" t="e">
        <f>O10/E9</f>
        <v>#REF!</v>
      </c>
      <c r="Q11" s="104"/>
      <c r="R11" s="105"/>
      <c r="S11" s="105"/>
      <c r="T11" s="106" t="e">
        <f>T10/J9</f>
        <v>#REF!</v>
      </c>
    </row>
  </sheetData>
  <mergeCells count="4">
    <mergeCell ref="C1:E1"/>
    <mergeCell ref="G1:J1"/>
    <mergeCell ref="L1:O1"/>
    <mergeCell ref="Q1:T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1"/>
  <sheetViews>
    <sheetView workbookViewId="0">
      <selection activeCell="I7" sqref="I7"/>
    </sheetView>
  </sheetViews>
  <sheetFormatPr defaultRowHeight="15" x14ac:dyDescent="0.25"/>
  <cols>
    <col min="1" max="1" width="20.42578125" bestFit="1" customWidth="1"/>
    <col min="2" max="2" width="14.7109375" bestFit="1" customWidth="1"/>
    <col min="3" max="3" width="9.5703125" bestFit="1" customWidth="1"/>
    <col min="5" max="5" width="11.5703125" bestFit="1" customWidth="1"/>
    <col min="6" max="6" width="1.5703125" customWidth="1"/>
    <col min="10" max="10" width="11.5703125" bestFit="1" customWidth="1"/>
    <col min="11" max="11" width="1.5703125" customWidth="1"/>
    <col min="12" max="12" width="7.85546875" bestFit="1" customWidth="1"/>
    <col min="15" max="15" width="10.5703125" bestFit="1" customWidth="1"/>
    <col min="16" max="16" width="1.5703125" customWidth="1"/>
    <col min="20" max="20" width="11.28515625" bestFit="1" customWidth="1"/>
  </cols>
  <sheetData>
    <row r="1" spans="1:20" ht="32.25" customHeight="1" x14ac:dyDescent="0.25">
      <c r="A1" s="4"/>
      <c r="B1" s="96"/>
      <c r="C1" s="241" t="s">
        <v>128</v>
      </c>
      <c r="D1" s="242"/>
      <c r="E1" s="243"/>
      <c r="F1" s="51"/>
      <c r="G1" s="244" t="s">
        <v>135</v>
      </c>
      <c r="H1" s="245"/>
      <c r="I1" s="245"/>
      <c r="J1" s="246"/>
      <c r="K1" s="51"/>
      <c r="L1" s="244" t="s">
        <v>136</v>
      </c>
      <c r="M1" s="245"/>
      <c r="N1" s="245"/>
      <c r="O1" s="246"/>
      <c r="Q1" s="244" t="s">
        <v>143</v>
      </c>
      <c r="R1" s="245"/>
      <c r="S1" s="245"/>
      <c r="T1" s="246"/>
    </row>
    <row r="2" spans="1:20" ht="45" x14ac:dyDescent="0.25">
      <c r="A2" s="1" t="s">
        <v>134</v>
      </c>
      <c r="B2" s="2" t="s">
        <v>7</v>
      </c>
      <c r="C2" s="121" t="s">
        <v>130</v>
      </c>
      <c r="D2" s="112" t="s">
        <v>129</v>
      </c>
      <c r="E2" s="113" t="s">
        <v>52</v>
      </c>
      <c r="F2" s="33"/>
      <c r="G2" s="111" t="s">
        <v>137</v>
      </c>
      <c r="H2" s="112" t="s">
        <v>130</v>
      </c>
      <c r="I2" s="112" t="s">
        <v>129</v>
      </c>
      <c r="J2" s="113" t="s">
        <v>52</v>
      </c>
      <c r="K2" s="33"/>
      <c r="L2" s="111" t="s">
        <v>138</v>
      </c>
      <c r="M2" s="112" t="s">
        <v>130</v>
      </c>
      <c r="N2" s="112" t="s">
        <v>129</v>
      </c>
      <c r="O2" s="113" t="s">
        <v>52</v>
      </c>
      <c r="Q2" s="111" t="s">
        <v>144</v>
      </c>
      <c r="R2" s="112" t="s">
        <v>130</v>
      </c>
      <c r="S2" s="112" t="s">
        <v>129</v>
      </c>
      <c r="T2" s="113" t="s">
        <v>52</v>
      </c>
    </row>
    <row r="3" spans="1:20" x14ac:dyDescent="0.25">
      <c r="A3" s="7" t="s">
        <v>133</v>
      </c>
      <c r="B3" s="90" t="s">
        <v>132</v>
      </c>
      <c r="C3" s="122">
        <v>0</v>
      </c>
      <c r="D3" s="82" t="e">
        <f>#REF!</f>
        <v>#REF!</v>
      </c>
      <c r="E3" s="107" t="e">
        <f>D3*C3</f>
        <v>#REF!</v>
      </c>
      <c r="F3" s="33"/>
      <c r="G3" s="114">
        <v>0.25</v>
      </c>
      <c r="H3" s="110">
        <f>C3</f>
        <v>0</v>
      </c>
      <c r="I3" s="97" t="e">
        <f>#REF!</f>
        <v>#REF!</v>
      </c>
      <c r="J3" s="107" t="e">
        <f>I3*H3</f>
        <v>#REF!</v>
      </c>
      <c r="K3" s="33"/>
      <c r="L3" s="114">
        <v>0.75</v>
      </c>
      <c r="M3" s="110">
        <f>C3</f>
        <v>0</v>
      </c>
      <c r="N3" s="97" t="e">
        <f>#REF!</f>
        <v>#REF!</v>
      </c>
      <c r="O3" s="107" t="e">
        <f>N3*M3</f>
        <v>#REF!</v>
      </c>
      <c r="Q3" s="114">
        <v>1</v>
      </c>
      <c r="R3" s="110"/>
      <c r="S3" s="97" t="e">
        <f>#REF!</f>
        <v>#REF!</v>
      </c>
      <c r="T3" s="107" t="e">
        <f>S3*R3</f>
        <v>#REF!</v>
      </c>
    </row>
    <row r="4" spans="1:20" x14ac:dyDescent="0.25">
      <c r="A4" s="7" t="s">
        <v>142</v>
      </c>
      <c r="B4" s="120" t="s">
        <v>1</v>
      </c>
      <c r="C4" s="122">
        <v>250</v>
      </c>
      <c r="D4" s="82" t="e">
        <f>#REF!</f>
        <v>#REF!</v>
      </c>
      <c r="E4" s="107" t="e">
        <f t="shared" ref="E4:E7" si="0">D4*C4</f>
        <v>#REF!</v>
      </c>
      <c r="F4" s="33"/>
      <c r="G4" s="7"/>
      <c r="H4" s="110">
        <f>C4</f>
        <v>250</v>
      </c>
      <c r="I4" s="97" t="e">
        <f>#REF!</f>
        <v>#REF!</v>
      </c>
      <c r="J4" s="107" t="e">
        <f t="shared" ref="J4:J7" si="1">I4*H4</f>
        <v>#REF!</v>
      </c>
      <c r="K4" s="33"/>
      <c r="L4" s="7"/>
      <c r="M4" s="110">
        <f>C4</f>
        <v>250</v>
      </c>
      <c r="N4" s="97" t="e">
        <f>#REF!</f>
        <v>#REF!</v>
      </c>
      <c r="O4" s="107" t="e">
        <f t="shared" ref="O4:O7" si="2">N4*M4</f>
        <v>#REF!</v>
      </c>
      <c r="Q4" s="7"/>
      <c r="R4" s="110">
        <f>M4</f>
        <v>250</v>
      </c>
      <c r="S4" s="97" t="e">
        <f>#REF!</f>
        <v>#REF!</v>
      </c>
      <c r="T4" s="107" t="e">
        <f t="shared" ref="T4:T7" si="3">S4*R4</f>
        <v>#REF!</v>
      </c>
    </row>
    <row r="5" spans="1:20" x14ac:dyDescent="0.25">
      <c r="A5" s="7" t="s">
        <v>31</v>
      </c>
      <c r="B5" s="90" t="s">
        <v>104</v>
      </c>
      <c r="C5" s="122">
        <v>1000</v>
      </c>
      <c r="D5" s="82" t="e">
        <f>#REF!</f>
        <v>#REF!</v>
      </c>
      <c r="E5" s="107" t="e">
        <f t="shared" si="0"/>
        <v>#REF!</v>
      </c>
      <c r="F5" s="33"/>
      <c r="G5" s="7"/>
      <c r="H5" s="110">
        <f>C5-H7</f>
        <v>750</v>
      </c>
      <c r="I5" s="97" t="e">
        <f>#REF!</f>
        <v>#REF!</v>
      </c>
      <c r="J5" s="107" t="e">
        <f t="shared" si="1"/>
        <v>#REF!</v>
      </c>
      <c r="K5" s="33"/>
      <c r="L5" s="7"/>
      <c r="M5" s="110">
        <f>C5-M7</f>
        <v>250</v>
      </c>
      <c r="N5" s="97" t="e">
        <f>#REF!</f>
        <v>#REF!</v>
      </c>
      <c r="O5" s="107" t="e">
        <f t="shared" si="2"/>
        <v>#REF!</v>
      </c>
      <c r="Q5" s="7"/>
      <c r="R5" s="110">
        <f>C5-R7</f>
        <v>250</v>
      </c>
      <c r="S5" s="97" t="e">
        <f>#REF!</f>
        <v>#REF!</v>
      </c>
      <c r="T5" s="107" t="e">
        <f t="shared" si="3"/>
        <v>#REF!</v>
      </c>
    </row>
    <row r="6" spans="1:20" x14ac:dyDescent="0.25">
      <c r="A6" s="7" t="s">
        <v>27</v>
      </c>
      <c r="B6" s="90" t="s">
        <v>0</v>
      </c>
      <c r="C6" s="122">
        <v>750</v>
      </c>
      <c r="D6" s="82" t="e">
        <f>#REF!</f>
        <v>#REF!</v>
      </c>
      <c r="E6" s="107" t="e">
        <f t="shared" si="0"/>
        <v>#REF!</v>
      </c>
      <c r="F6" s="33"/>
      <c r="G6" s="7"/>
      <c r="H6" s="110">
        <f>C6-H7</f>
        <v>500</v>
      </c>
      <c r="I6" s="97" t="e">
        <f>#REF!</f>
        <v>#REF!</v>
      </c>
      <c r="J6" s="107" t="e">
        <f t="shared" si="1"/>
        <v>#REF!</v>
      </c>
      <c r="K6" s="33"/>
      <c r="L6" s="7"/>
      <c r="M6" s="110">
        <f>C6-M7</f>
        <v>0</v>
      </c>
      <c r="N6" s="97" t="e">
        <f>#REF!</f>
        <v>#REF!</v>
      </c>
      <c r="O6" s="107" t="e">
        <f t="shared" si="2"/>
        <v>#REF!</v>
      </c>
      <c r="Q6" s="7"/>
      <c r="R6" s="110">
        <f>C6-R7</f>
        <v>0</v>
      </c>
      <c r="S6" s="97" t="e">
        <f>#REF!</f>
        <v>#REF!</v>
      </c>
      <c r="T6" s="107" t="e">
        <f t="shared" si="3"/>
        <v>#REF!</v>
      </c>
    </row>
    <row r="7" spans="1:20" x14ac:dyDescent="0.25">
      <c r="A7" s="7" t="s">
        <v>127</v>
      </c>
      <c r="B7" s="90" t="s">
        <v>126</v>
      </c>
      <c r="C7" s="122">
        <v>0</v>
      </c>
      <c r="D7" s="82">
        <v>0</v>
      </c>
      <c r="E7" s="107">
        <f t="shared" si="0"/>
        <v>0</v>
      </c>
      <c r="F7" s="33"/>
      <c r="G7" s="7"/>
      <c r="H7" s="110">
        <f>G3/0.75*C6</f>
        <v>250</v>
      </c>
      <c r="I7" s="97" t="e">
        <f>#REF!</f>
        <v>#REF!</v>
      </c>
      <c r="J7" s="107" t="e">
        <f t="shared" si="1"/>
        <v>#REF!</v>
      </c>
      <c r="K7" s="33"/>
      <c r="L7" s="7"/>
      <c r="M7" s="110">
        <f>L3/0.75*C6</f>
        <v>750</v>
      </c>
      <c r="N7" s="97" t="e">
        <f>'Pentacel Vaxelis Conversion'!N7</f>
        <v>#REF!</v>
      </c>
      <c r="O7" s="107" t="e">
        <f t="shared" si="2"/>
        <v>#REF!</v>
      </c>
      <c r="Q7" s="7"/>
      <c r="R7" s="110">
        <f>C6</f>
        <v>750</v>
      </c>
      <c r="S7" s="97" t="e">
        <f>'Pentacel Vaxelis Conversion'!S7</f>
        <v>#REF!</v>
      </c>
      <c r="T7" s="107" t="e">
        <f t="shared" si="3"/>
        <v>#REF!</v>
      </c>
    </row>
    <row r="8" spans="1:20" x14ac:dyDescent="0.25">
      <c r="A8" s="7"/>
      <c r="B8" s="90"/>
      <c r="C8" s="7"/>
      <c r="D8" s="90"/>
      <c r="E8" s="8"/>
      <c r="F8" s="33"/>
      <c r="G8" s="7"/>
      <c r="H8" s="90"/>
      <c r="I8" s="90"/>
      <c r="J8" s="8"/>
      <c r="K8" s="33"/>
      <c r="L8" s="7"/>
      <c r="M8" s="90"/>
      <c r="N8" s="90"/>
      <c r="O8" s="8"/>
      <c r="Q8" s="7"/>
      <c r="R8" s="90"/>
      <c r="S8" s="90"/>
      <c r="T8" s="8"/>
    </row>
    <row r="9" spans="1:20" x14ac:dyDescent="0.25">
      <c r="A9" s="117" t="s">
        <v>139</v>
      </c>
      <c r="B9" s="99"/>
      <c r="C9" s="98"/>
      <c r="D9" s="99"/>
      <c r="E9" s="100" t="e">
        <f>SUM(E3:E8)</f>
        <v>#REF!</v>
      </c>
      <c r="F9" s="115"/>
      <c r="G9" s="98"/>
      <c r="H9" s="99"/>
      <c r="I9" s="99"/>
      <c r="J9" s="100" t="e">
        <f>SUM(J3:J8)</f>
        <v>#REF!</v>
      </c>
      <c r="K9" s="115"/>
      <c r="L9" s="98"/>
      <c r="M9" s="99"/>
      <c r="N9" s="99"/>
      <c r="O9" s="100" t="e">
        <f>SUM(O3:O8)</f>
        <v>#REF!</v>
      </c>
      <c r="Q9" s="98"/>
      <c r="R9" s="99"/>
      <c r="S9" s="99"/>
      <c r="T9" s="100" t="e">
        <f>SUM(T3:T8)</f>
        <v>#REF!</v>
      </c>
    </row>
    <row r="10" spans="1:20" x14ac:dyDescent="0.25">
      <c r="A10" s="118" t="s">
        <v>140</v>
      </c>
      <c r="B10" s="102"/>
      <c r="C10" s="101"/>
      <c r="D10" s="102"/>
      <c r="E10" s="108"/>
      <c r="F10" s="115"/>
      <c r="G10" s="101"/>
      <c r="H10" s="102"/>
      <c r="I10" s="102"/>
      <c r="J10" s="103" t="e">
        <f>J9-E9</f>
        <v>#REF!</v>
      </c>
      <c r="K10" s="115"/>
      <c r="L10" s="101"/>
      <c r="M10" s="102"/>
      <c r="N10" s="102"/>
      <c r="O10" s="103" t="e">
        <f>O9-E9</f>
        <v>#REF!</v>
      </c>
      <c r="Q10" s="101"/>
      <c r="R10" s="102"/>
      <c r="S10" s="102"/>
      <c r="T10" s="103" t="e">
        <f>T9-J9</f>
        <v>#REF!</v>
      </c>
    </row>
    <row r="11" spans="1:20" x14ac:dyDescent="0.25">
      <c r="A11" s="119" t="s">
        <v>141</v>
      </c>
      <c r="B11" s="105"/>
      <c r="C11" s="104"/>
      <c r="D11" s="105"/>
      <c r="E11" s="109"/>
      <c r="F11" s="116"/>
      <c r="G11" s="104"/>
      <c r="H11" s="105"/>
      <c r="I11" s="105"/>
      <c r="J11" s="106" t="e">
        <f>J10/E9</f>
        <v>#REF!</v>
      </c>
      <c r="K11" s="116"/>
      <c r="L11" s="104"/>
      <c r="M11" s="105"/>
      <c r="N11" s="105"/>
      <c r="O11" s="106" t="e">
        <f>O10/E9</f>
        <v>#REF!</v>
      </c>
      <c r="Q11" s="104"/>
      <c r="R11" s="105"/>
      <c r="S11" s="105"/>
      <c r="T11" s="106" t="e">
        <f>T10/J9</f>
        <v>#REF!</v>
      </c>
    </row>
  </sheetData>
  <mergeCells count="4">
    <mergeCell ref="C1:E1"/>
    <mergeCell ref="G1:J1"/>
    <mergeCell ref="L1:O1"/>
    <mergeCell ref="Q1:T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6AB31-BB94-440F-B929-C8D82BB76395}">
  <dimension ref="A1:R95"/>
  <sheetViews>
    <sheetView zoomScale="90" zoomScaleNormal="90" workbookViewId="0">
      <pane ySplit="1" topLeftCell="A38" activePane="bottomLeft" state="frozen"/>
      <selection pane="bottomLeft" activeCell="M48" sqref="M48"/>
    </sheetView>
  </sheetViews>
  <sheetFormatPr defaultRowHeight="15" x14ac:dyDescent="0.25"/>
  <cols>
    <col min="1" max="1" width="14.7109375" customWidth="1"/>
    <col min="2" max="2" width="41.5703125" bestFit="1" customWidth="1"/>
    <col min="3" max="3" width="7.85546875" customWidth="1"/>
    <col min="4" max="4" width="19" bestFit="1" customWidth="1"/>
    <col min="5" max="5" width="13.7109375" bestFit="1" customWidth="1"/>
    <col min="6" max="6" width="11.85546875" customWidth="1"/>
    <col min="7" max="7" width="15" customWidth="1"/>
    <col min="8" max="8" width="12.85546875" bestFit="1" customWidth="1"/>
    <col min="9" max="9" width="4" customWidth="1"/>
    <col min="10" max="10" width="4.7109375" customWidth="1"/>
    <col min="11" max="11" width="10.42578125" bestFit="1" customWidth="1"/>
    <col min="12" max="12" width="41.5703125" bestFit="1" customWidth="1"/>
    <col min="13" max="13" width="12.85546875" bestFit="1" customWidth="1"/>
    <col min="14" max="14" width="12.28515625" bestFit="1" customWidth="1"/>
    <col min="15" max="15" width="6.140625" bestFit="1" customWidth="1"/>
    <col min="16" max="16" width="54.5703125" bestFit="1" customWidth="1"/>
    <col min="17" max="17" width="28.7109375" bestFit="1" customWidth="1"/>
    <col min="18" max="18" width="12" customWidth="1"/>
  </cols>
  <sheetData>
    <row r="1" spans="1:17" ht="45" x14ac:dyDescent="0.25">
      <c r="A1" s="134">
        <v>45748</v>
      </c>
      <c r="B1" s="134" t="s">
        <v>6</v>
      </c>
      <c r="C1" s="135" t="s">
        <v>167</v>
      </c>
      <c r="D1" s="136" t="s">
        <v>66</v>
      </c>
      <c r="E1" s="137" t="s">
        <v>61</v>
      </c>
      <c r="F1" s="45" t="s">
        <v>76</v>
      </c>
      <c r="G1" s="45" t="s">
        <v>77</v>
      </c>
      <c r="K1" s="134">
        <v>45748</v>
      </c>
      <c r="L1" s="3" t="s">
        <v>6</v>
      </c>
      <c r="M1" s="3" t="s">
        <v>172</v>
      </c>
      <c r="N1" s="3" t="s">
        <v>150</v>
      </c>
      <c r="P1" s="141" t="s">
        <v>174</v>
      </c>
    </row>
    <row r="2" spans="1:17" x14ac:dyDescent="0.25">
      <c r="A2" s="140" t="s">
        <v>222</v>
      </c>
      <c r="L2" s="140" t="s">
        <v>147</v>
      </c>
      <c r="P2">
        <v>0.75</v>
      </c>
    </row>
    <row r="3" spans="1:17" x14ac:dyDescent="0.25">
      <c r="A3" s="51">
        <v>1</v>
      </c>
      <c r="B3" s="51" t="s">
        <v>21</v>
      </c>
      <c r="C3" s="34">
        <v>90744</v>
      </c>
      <c r="D3" s="54">
        <f>M3-(N3*$P$2)</f>
        <v>27.16</v>
      </c>
      <c r="E3" s="81">
        <v>20.55</v>
      </c>
      <c r="F3" s="81">
        <v>21.18</v>
      </c>
      <c r="G3" s="81">
        <f>F3-D3</f>
        <v>-5.98</v>
      </c>
      <c r="H3" s="5" t="s">
        <v>147</v>
      </c>
      <c r="L3" s="51" t="s">
        <v>21</v>
      </c>
      <c r="M3" s="152">
        <v>27.91</v>
      </c>
      <c r="N3" s="5">
        <v>1</v>
      </c>
      <c r="Q3" t="s">
        <v>218</v>
      </c>
    </row>
    <row r="4" spans="1:17" x14ac:dyDescent="0.25">
      <c r="A4" s="52">
        <v>2</v>
      </c>
      <c r="B4" s="52" t="s">
        <v>23</v>
      </c>
      <c r="C4" s="35">
        <v>90746</v>
      </c>
      <c r="D4" s="54">
        <f>M4-(N4*$P$2)</f>
        <v>68.06</v>
      </c>
      <c r="E4" s="95">
        <v>45.56</v>
      </c>
      <c r="F4" s="95">
        <v>46.96</v>
      </c>
      <c r="G4" s="81">
        <f t="shared" ref="G4:G15" si="0">F4-D4</f>
        <v>-21.1</v>
      </c>
      <c r="H4" s="11" t="s">
        <v>147</v>
      </c>
      <c r="L4" s="52" t="s">
        <v>23</v>
      </c>
      <c r="M4" s="153">
        <v>68.81</v>
      </c>
      <c r="N4" s="11">
        <v>1</v>
      </c>
    </row>
    <row r="5" spans="1:17" x14ac:dyDescent="0.25">
      <c r="A5" s="32">
        <v>3</v>
      </c>
      <c r="B5" s="32" t="s">
        <v>8</v>
      </c>
      <c r="C5" s="50">
        <v>90707</v>
      </c>
      <c r="D5" s="54">
        <f t="shared" ref="D5:D15" si="1">M5-(N5*$P$2)</f>
        <v>92.95</v>
      </c>
      <c r="E5" s="80">
        <v>84.35</v>
      </c>
      <c r="F5" s="80">
        <v>88.3</v>
      </c>
      <c r="G5" s="81">
        <f t="shared" si="0"/>
        <v>-4.6500000000000057</v>
      </c>
      <c r="H5" s="13" t="s">
        <v>147</v>
      </c>
      <c r="L5" s="32" t="s">
        <v>8</v>
      </c>
      <c r="M5" s="154">
        <v>95.2</v>
      </c>
      <c r="N5" s="13">
        <v>3</v>
      </c>
    </row>
    <row r="6" spans="1:17" x14ac:dyDescent="0.25">
      <c r="A6" s="32">
        <v>4</v>
      </c>
      <c r="B6" s="32" t="s">
        <v>12</v>
      </c>
      <c r="C6" s="50">
        <v>90716</v>
      </c>
      <c r="D6" s="54">
        <f t="shared" si="1"/>
        <v>182.25</v>
      </c>
      <c r="E6" s="80">
        <v>167.98</v>
      </c>
      <c r="F6" s="80">
        <v>173.14</v>
      </c>
      <c r="G6" s="81">
        <f t="shared" si="0"/>
        <v>-9.1100000000000136</v>
      </c>
      <c r="H6" s="13" t="s">
        <v>147</v>
      </c>
      <c r="L6" s="32" t="s">
        <v>12</v>
      </c>
      <c r="M6" s="154">
        <v>183</v>
      </c>
      <c r="N6" s="13">
        <v>1</v>
      </c>
    </row>
    <row r="7" spans="1:17" x14ac:dyDescent="0.25">
      <c r="A7" s="32">
        <v>5</v>
      </c>
      <c r="B7" s="32" t="s">
        <v>10</v>
      </c>
      <c r="C7" s="50">
        <v>90710</v>
      </c>
      <c r="D7" s="54">
        <f t="shared" si="1"/>
        <v>275.16000000000003</v>
      </c>
      <c r="E7" s="80">
        <v>248.28</v>
      </c>
      <c r="F7" s="80">
        <v>255.9</v>
      </c>
      <c r="G7" s="81">
        <f t="shared" si="0"/>
        <v>-19.260000000000019</v>
      </c>
      <c r="H7" s="13" t="s">
        <v>147</v>
      </c>
      <c r="L7" s="32" t="s">
        <v>10</v>
      </c>
      <c r="M7" s="154">
        <v>278.16000000000003</v>
      </c>
      <c r="N7" s="13">
        <v>4</v>
      </c>
    </row>
    <row r="8" spans="1:17" x14ac:dyDescent="0.25">
      <c r="A8" s="51">
        <v>6</v>
      </c>
      <c r="B8" s="51" t="s">
        <v>16</v>
      </c>
      <c r="C8" s="34">
        <v>90633</v>
      </c>
      <c r="D8" s="54">
        <f t="shared" si="1"/>
        <v>38.1</v>
      </c>
      <c r="E8" s="81">
        <v>27.35</v>
      </c>
      <c r="F8" s="81">
        <v>28.19</v>
      </c>
      <c r="G8" s="81">
        <f t="shared" si="0"/>
        <v>-9.91</v>
      </c>
      <c r="H8" s="5" t="s">
        <v>147</v>
      </c>
      <c r="L8" s="51" t="s">
        <v>16</v>
      </c>
      <c r="M8" s="152">
        <v>38.85</v>
      </c>
      <c r="N8" s="5">
        <v>1</v>
      </c>
    </row>
    <row r="9" spans="1:17" x14ac:dyDescent="0.25">
      <c r="A9" s="52">
        <v>7</v>
      </c>
      <c r="B9" s="52" t="s">
        <v>18</v>
      </c>
      <c r="C9" s="35">
        <v>90632</v>
      </c>
      <c r="D9" s="54">
        <f t="shared" si="1"/>
        <v>80.569999999999993</v>
      </c>
      <c r="E9" s="95">
        <v>68.790000000000006</v>
      </c>
      <c r="F9" s="95">
        <v>70.900000000000006</v>
      </c>
      <c r="G9" s="81">
        <f t="shared" si="0"/>
        <v>-9.6699999999999875</v>
      </c>
      <c r="H9" s="11" t="s">
        <v>147</v>
      </c>
      <c r="L9" s="52" t="s">
        <v>18</v>
      </c>
      <c r="M9" s="153">
        <v>81.319999999999993</v>
      </c>
      <c r="N9" s="11">
        <v>1</v>
      </c>
    </row>
    <row r="10" spans="1:17" x14ac:dyDescent="0.25">
      <c r="A10" s="32">
        <v>8</v>
      </c>
      <c r="B10" s="32" t="s">
        <v>41</v>
      </c>
      <c r="C10" s="50">
        <v>90647</v>
      </c>
      <c r="D10" s="54">
        <f t="shared" si="1"/>
        <v>29.83</v>
      </c>
      <c r="E10" s="80">
        <v>27.49</v>
      </c>
      <c r="F10" s="80">
        <v>28.34</v>
      </c>
      <c r="G10" s="81">
        <f t="shared" si="0"/>
        <v>-1.4899999999999984</v>
      </c>
      <c r="H10" s="13" t="s">
        <v>147</v>
      </c>
      <c r="L10" s="32" t="s">
        <v>41</v>
      </c>
      <c r="M10" s="154">
        <v>30.58</v>
      </c>
      <c r="N10" s="13">
        <v>1</v>
      </c>
    </row>
    <row r="11" spans="1:17" x14ac:dyDescent="0.25">
      <c r="A11" s="215">
        <v>9</v>
      </c>
      <c r="B11" s="215" t="s">
        <v>78</v>
      </c>
      <c r="C11" s="222" t="s">
        <v>81</v>
      </c>
      <c r="D11" s="219">
        <f t="shared" si="1"/>
        <v>306.86</v>
      </c>
      <c r="E11" s="217">
        <v>281.37</v>
      </c>
      <c r="F11" s="217">
        <v>291.52</v>
      </c>
      <c r="G11" s="220">
        <f t="shared" si="0"/>
        <v>-15.340000000000032</v>
      </c>
      <c r="H11" s="221" t="s">
        <v>147</v>
      </c>
      <c r="L11" s="32" t="s">
        <v>78</v>
      </c>
      <c r="M11" s="154">
        <v>307.61</v>
      </c>
      <c r="N11" s="13">
        <v>1</v>
      </c>
    </row>
    <row r="12" spans="1:17" x14ac:dyDescent="0.25">
      <c r="A12" s="32">
        <v>10</v>
      </c>
      <c r="B12" s="32" t="s">
        <v>14</v>
      </c>
      <c r="C12" s="50">
        <v>90680</v>
      </c>
      <c r="D12" s="54">
        <f t="shared" si="1"/>
        <v>98.07</v>
      </c>
      <c r="E12" s="80">
        <v>82.93</v>
      </c>
      <c r="F12" s="80">
        <v>87.28</v>
      </c>
      <c r="G12" s="81">
        <f t="shared" si="0"/>
        <v>-10.789999999999992</v>
      </c>
      <c r="H12" s="13" t="s">
        <v>147</v>
      </c>
      <c r="L12" s="32" t="s">
        <v>14</v>
      </c>
      <c r="M12" s="155">
        <v>98.82</v>
      </c>
      <c r="N12" s="13">
        <v>1</v>
      </c>
    </row>
    <row r="13" spans="1:17" x14ac:dyDescent="0.25">
      <c r="A13" s="215">
        <v>11</v>
      </c>
      <c r="B13" s="215" t="s">
        <v>146</v>
      </c>
      <c r="C13" s="216">
        <v>90671</v>
      </c>
      <c r="D13" s="219">
        <f t="shared" si="1"/>
        <v>228.45</v>
      </c>
      <c r="E13" s="217">
        <v>178</v>
      </c>
      <c r="F13" s="217">
        <v>187.33</v>
      </c>
      <c r="G13" s="220">
        <f t="shared" si="0"/>
        <v>-41.119999999999976</v>
      </c>
      <c r="H13" s="221" t="s">
        <v>147</v>
      </c>
      <c r="L13" s="32" t="s">
        <v>146</v>
      </c>
      <c r="M13" s="155">
        <v>229.2</v>
      </c>
      <c r="N13" s="13">
        <v>1</v>
      </c>
    </row>
    <row r="14" spans="1:17" x14ac:dyDescent="0.25">
      <c r="A14" s="32">
        <v>12</v>
      </c>
      <c r="B14" s="32" t="s">
        <v>39</v>
      </c>
      <c r="C14" s="50">
        <v>90732</v>
      </c>
      <c r="D14" s="80">
        <f t="shared" si="1"/>
        <v>117.081</v>
      </c>
      <c r="E14" s="80">
        <v>110.18</v>
      </c>
      <c r="F14" s="80">
        <v>113.57</v>
      </c>
      <c r="G14" s="130">
        <f t="shared" si="0"/>
        <v>-3.5110000000000099</v>
      </c>
      <c r="H14" s="13" t="s">
        <v>147</v>
      </c>
      <c r="L14" s="32" t="s">
        <v>39</v>
      </c>
      <c r="M14" s="155">
        <v>117.081</v>
      </c>
      <c r="N14" s="13">
        <v>0</v>
      </c>
    </row>
    <row r="15" spans="1:17" x14ac:dyDescent="0.25">
      <c r="A15" s="215">
        <v>13</v>
      </c>
      <c r="B15" s="215" t="s">
        <v>212</v>
      </c>
      <c r="C15" s="216">
        <v>90684</v>
      </c>
      <c r="D15" s="217">
        <f t="shared" si="1"/>
        <v>287</v>
      </c>
      <c r="E15" s="217">
        <v>218.17</v>
      </c>
      <c r="F15" s="217">
        <v>229.6</v>
      </c>
      <c r="G15" s="218">
        <f t="shared" si="0"/>
        <v>-57.400000000000006</v>
      </c>
      <c r="H15" s="215" t="s">
        <v>147</v>
      </c>
      <c r="L15" s="32" t="s">
        <v>212</v>
      </c>
      <c r="M15" s="202">
        <v>287.75</v>
      </c>
      <c r="N15" s="32">
        <v>1</v>
      </c>
    </row>
    <row r="16" spans="1:17" x14ac:dyDescent="0.25">
      <c r="A16" s="90"/>
      <c r="B16" s="90"/>
      <c r="C16" s="123"/>
      <c r="D16" s="213"/>
      <c r="E16" s="213"/>
      <c r="F16" s="213"/>
      <c r="G16" s="214"/>
      <c r="H16" s="90"/>
      <c r="L16" s="90"/>
      <c r="M16" s="97"/>
      <c r="N16" s="90"/>
    </row>
    <row r="17" spans="1:16" x14ac:dyDescent="0.25">
      <c r="A17" s="140" t="s">
        <v>221</v>
      </c>
      <c r="L17" s="140" t="s">
        <v>147</v>
      </c>
    </row>
    <row r="18" spans="1:16" x14ac:dyDescent="0.25">
      <c r="A18" s="51">
        <v>1</v>
      </c>
      <c r="B18" s="51" t="s">
        <v>21</v>
      </c>
      <c r="C18" s="34">
        <v>90744</v>
      </c>
      <c r="D18" s="54">
        <f>M18-(N18*$P$2)</f>
        <v>27.16</v>
      </c>
      <c r="E18" s="81">
        <v>20.55</v>
      </c>
      <c r="F18" s="81">
        <v>21.18</v>
      </c>
      <c r="G18" s="81">
        <f>F18-D18</f>
        <v>-5.98</v>
      </c>
      <c r="H18" s="5" t="s">
        <v>147</v>
      </c>
      <c r="L18" s="51" t="s">
        <v>21</v>
      </c>
      <c r="M18" s="152">
        <v>27.91</v>
      </c>
      <c r="N18" s="5">
        <v>1</v>
      </c>
    </row>
    <row r="19" spans="1:16" x14ac:dyDescent="0.25">
      <c r="A19" s="52">
        <v>2</v>
      </c>
      <c r="B19" s="52" t="s">
        <v>23</v>
      </c>
      <c r="C19" s="35">
        <v>90746</v>
      </c>
      <c r="D19" s="54">
        <f>M19-(N19*$P$2)</f>
        <v>68.06</v>
      </c>
      <c r="E19" s="95">
        <v>45.56</v>
      </c>
      <c r="F19" s="95">
        <v>46.96</v>
      </c>
      <c r="G19" s="81">
        <f t="shared" ref="G19:G30" si="2">F19-D19</f>
        <v>-21.1</v>
      </c>
      <c r="H19" s="11" t="s">
        <v>147</v>
      </c>
      <c r="L19" s="52" t="s">
        <v>23</v>
      </c>
      <c r="M19" s="153">
        <v>68.81</v>
      </c>
      <c r="N19" s="11">
        <v>1</v>
      </c>
    </row>
    <row r="20" spans="1:16" x14ac:dyDescent="0.25">
      <c r="A20" s="32">
        <v>3</v>
      </c>
      <c r="B20" s="32" t="s">
        <v>8</v>
      </c>
      <c r="C20" s="50">
        <v>90707</v>
      </c>
      <c r="D20" s="54">
        <f t="shared" ref="D20:D30" si="3">M20-(N20*$P$2)</f>
        <v>92.95</v>
      </c>
      <c r="E20" s="80">
        <v>84.35</v>
      </c>
      <c r="F20" s="80">
        <v>88.3</v>
      </c>
      <c r="G20" s="81">
        <f t="shared" si="2"/>
        <v>-4.6500000000000057</v>
      </c>
      <c r="H20" s="13" t="s">
        <v>147</v>
      </c>
      <c r="L20" s="32" t="s">
        <v>8</v>
      </c>
      <c r="M20" s="154">
        <v>95.2</v>
      </c>
      <c r="N20" s="13">
        <v>3</v>
      </c>
    </row>
    <row r="21" spans="1:16" x14ac:dyDescent="0.25">
      <c r="A21" s="32">
        <v>4</v>
      </c>
      <c r="B21" s="32" t="s">
        <v>12</v>
      </c>
      <c r="C21" s="50">
        <v>90716</v>
      </c>
      <c r="D21" s="54">
        <f t="shared" si="3"/>
        <v>182.25</v>
      </c>
      <c r="E21" s="80">
        <v>167.98</v>
      </c>
      <c r="F21" s="80">
        <v>173.14</v>
      </c>
      <c r="G21" s="81">
        <f t="shared" si="2"/>
        <v>-9.1100000000000136</v>
      </c>
      <c r="H21" s="13" t="s">
        <v>147</v>
      </c>
      <c r="L21" s="32" t="s">
        <v>12</v>
      </c>
      <c r="M21" s="154">
        <v>183</v>
      </c>
      <c r="N21" s="13">
        <v>1</v>
      </c>
    </row>
    <row r="22" spans="1:16" x14ac:dyDescent="0.25">
      <c r="A22" s="32">
        <v>5</v>
      </c>
      <c r="B22" s="32" t="s">
        <v>10</v>
      </c>
      <c r="C22" s="50">
        <v>90710</v>
      </c>
      <c r="D22" s="54">
        <f t="shared" si="3"/>
        <v>275.16000000000003</v>
      </c>
      <c r="E22" s="80">
        <v>248.28</v>
      </c>
      <c r="F22" s="80">
        <v>255.9</v>
      </c>
      <c r="G22" s="81">
        <f t="shared" si="2"/>
        <v>-19.260000000000019</v>
      </c>
      <c r="H22" s="13" t="s">
        <v>147</v>
      </c>
      <c r="L22" s="32" t="s">
        <v>10</v>
      </c>
      <c r="M22" s="154">
        <v>278.16000000000003</v>
      </c>
      <c r="N22" s="13">
        <v>4</v>
      </c>
    </row>
    <row r="23" spans="1:16" x14ac:dyDescent="0.25">
      <c r="A23" s="51">
        <v>6</v>
      </c>
      <c r="B23" s="51" t="s">
        <v>16</v>
      </c>
      <c r="C23" s="34">
        <v>90633</v>
      </c>
      <c r="D23" s="54">
        <f t="shared" si="3"/>
        <v>38.1</v>
      </c>
      <c r="E23" s="81">
        <v>27.35</v>
      </c>
      <c r="F23" s="81">
        <v>28.19</v>
      </c>
      <c r="G23" s="81">
        <f t="shared" si="2"/>
        <v>-9.91</v>
      </c>
      <c r="H23" s="5" t="s">
        <v>147</v>
      </c>
      <c r="L23" s="51" t="s">
        <v>16</v>
      </c>
      <c r="M23" s="152">
        <v>38.85</v>
      </c>
      <c r="N23" s="5">
        <v>1</v>
      </c>
    </row>
    <row r="24" spans="1:16" x14ac:dyDescent="0.25">
      <c r="A24" s="52">
        <v>7</v>
      </c>
      <c r="B24" s="52" t="s">
        <v>18</v>
      </c>
      <c r="C24" s="35">
        <v>90632</v>
      </c>
      <c r="D24" s="54">
        <f t="shared" si="3"/>
        <v>80.569999999999993</v>
      </c>
      <c r="E24" s="95">
        <v>68.790000000000006</v>
      </c>
      <c r="F24" s="95">
        <v>70.900000000000006</v>
      </c>
      <c r="G24" s="81">
        <f t="shared" si="2"/>
        <v>-9.6699999999999875</v>
      </c>
      <c r="H24" s="11" t="s">
        <v>147</v>
      </c>
      <c r="L24" s="52" t="s">
        <v>18</v>
      </c>
      <c r="M24" s="153">
        <v>81.319999999999993</v>
      </c>
      <c r="N24" s="11">
        <v>1</v>
      </c>
    </row>
    <row r="25" spans="1:16" x14ac:dyDescent="0.25">
      <c r="A25" s="32">
        <v>8</v>
      </c>
      <c r="B25" s="32" t="s">
        <v>41</v>
      </c>
      <c r="C25" s="50">
        <v>90647</v>
      </c>
      <c r="D25" s="54">
        <f t="shared" si="3"/>
        <v>29.83</v>
      </c>
      <c r="E25" s="80">
        <v>27.49</v>
      </c>
      <c r="F25" s="80">
        <v>28.34</v>
      </c>
      <c r="G25" s="81">
        <f t="shared" si="2"/>
        <v>-1.4899999999999984</v>
      </c>
      <c r="H25" s="13" t="s">
        <v>147</v>
      </c>
      <c r="L25" s="32" t="s">
        <v>41</v>
      </c>
      <c r="M25" s="154">
        <v>30.58</v>
      </c>
      <c r="N25" s="13">
        <v>1</v>
      </c>
    </row>
    <row r="26" spans="1:16" x14ac:dyDescent="0.25">
      <c r="A26" s="215">
        <v>9</v>
      </c>
      <c r="B26" s="215" t="s">
        <v>78</v>
      </c>
      <c r="C26" s="222" t="s">
        <v>81</v>
      </c>
      <c r="D26" s="219">
        <f t="shared" si="3"/>
        <v>306.86</v>
      </c>
      <c r="E26" s="217">
        <v>293.22000000000003</v>
      </c>
      <c r="F26" s="217">
        <v>303.79000000000002</v>
      </c>
      <c r="G26" s="220">
        <f t="shared" si="2"/>
        <v>-3.0699999999999932</v>
      </c>
      <c r="H26" s="221" t="s">
        <v>147</v>
      </c>
      <c r="L26" s="32" t="s">
        <v>78</v>
      </c>
      <c r="M26" s="154">
        <v>307.61</v>
      </c>
      <c r="N26" s="13">
        <v>1</v>
      </c>
    </row>
    <row r="27" spans="1:16" x14ac:dyDescent="0.25">
      <c r="A27" s="32">
        <v>10</v>
      </c>
      <c r="B27" s="32" t="s">
        <v>14</v>
      </c>
      <c r="C27" s="50">
        <v>90680</v>
      </c>
      <c r="D27" s="54">
        <f t="shared" si="3"/>
        <v>98.07</v>
      </c>
      <c r="E27" s="80">
        <v>82.93</v>
      </c>
      <c r="F27" s="80">
        <v>87.28</v>
      </c>
      <c r="G27" s="81">
        <f t="shared" si="2"/>
        <v>-10.789999999999992</v>
      </c>
      <c r="H27" s="13" t="s">
        <v>147</v>
      </c>
      <c r="L27" s="32" t="s">
        <v>14</v>
      </c>
      <c r="M27" s="155">
        <v>98.82</v>
      </c>
      <c r="N27" s="13">
        <v>1</v>
      </c>
    </row>
    <row r="28" spans="1:16" x14ac:dyDescent="0.25">
      <c r="A28" s="215">
        <v>11</v>
      </c>
      <c r="B28" s="215" t="s">
        <v>146</v>
      </c>
      <c r="C28" s="216">
        <v>90671</v>
      </c>
      <c r="D28" s="219">
        <f t="shared" si="3"/>
        <v>228.45</v>
      </c>
      <c r="E28" s="217">
        <v>178</v>
      </c>
      <c r="F28" s="217">
        <v>187.33</v>
      </c>
      <c r="G28" s="220">
        <f t="shared" si="2"/>
        <v>-41.119999999999976</v>
      </c>
      <c r="H28" s="221" t="s">
        <v>147</v>
      </c>
      <c r="L28" s="32" t="s">
        <v>146</v>
      </c>
      <c r="M28" s="155">
        <v>229.2</v>
      </c>
      <c r="N28" s="13">
        <v>1</v>
      </c>
      <c r="P28" t="s">
        <v>227</v>
      </c>
    </row>
    <row r="29" spans="1:16" x14ac:dyDescent="0.25">
      <c r="A29" s="32">
        <v>12</v>
      </c>
      <c r="B29" s="32" t="s">
        <v>39</v>
      </c>
      <c r="C29" s="50">
        <v>90732</v>
      </c>
      <c r="D29" s="80">
        <f t="shared" si="3"/>
        <v>117.081</v>
      </c>
      <c r="E29" s="80">
        <v>110.18</v>
      </c>
      <c r="F29" s="80">
        <v>113.57</v>
      </c>
      <c r="G29" s="130">
        <f t="shared" si="2"/>
        <v>-3.5110000000000099</v>
      </c>
      <c r="H29" s="13" t="s">
        <v>147</v>
      </c>
      <c r="L29" s="32" t="s">
        <v>39</v>
      </c>
      <c r="M29" s="155">
        <v>117.081</v>
      </c>
      <c r="N29" s="13">
        <v>0</v>
      </c>
    </row>
    <row r="30" spans="1:16" x14ac:dyDescent="0.25">
      <c r="A30" s="215">
        <v>13</v>
      </c>
      <c r="B30" s="215" t="s">
        <v>212</v>
      </c>
      <c r="C30" s="216">
        <v>90684</v>
      </c>
      <c r="D30" s="217">
        <f t="shared" si="3"/>
        <v>287</v>
      </c>
      <c r="E30" s="217">
        <v>233.9</v>
      </c>
      <c r="F30" s="217">
        <v>241.08</v>
      </c>
      <c r="G30" s="218">
        <f t="shared" si="2"/>
        <v>-45.919999999999987</v>
      </c>
      <c r="H30" s="215" t="s">
        <v>147</v>
      </c>
      <c r="L30" s="32" t="s">
        <v>212</v>
      </c>
      <c r="M30" s="202">
        <v>287.75</v>
      </c>
      <c r="N30" s="32">
        <v>1</v>
      </c>
    </row>
    <row r="31" spans="1:16" x14ac:dyDescent="0.25">
      <c r="A31" s="90"/>
      <c r="B31" s="90"/>
      <c r="C31" s="123"/>
      <c r="D31" s="213"/>
      <c r="E31" s="213"/>
      <c r="F31" s="213"/>
      <c r="G31" s="214"/>
      <c r="H31" s="90"/>
    </row>
    <row r="32" spans="1:16" x14ac:dyDescent="0.25">
      <c r="A32" s="140" t="s">
        <v>148</v>
      </c>
      <c r="L32" s="140" t="s">
        <v>148</v>
      </c>
    </row>
    <row r="33" spans="1:17" x14ac:dyDescent="0.25">
      <c r="A33" s="32">
        <v>1</v>
      </c>
      <c r="B33" s="131" t="s">
        <v>36</v>
      </c>
      <c r="C33" s="132">
        <v>90714</v>
      </c>
      <c r="D33" s="80">
        <f>M33-(N33*$P$2)</f>
        <v>38.81</v>
      </c>
      <c r="E33" s="80">
        <v>35.11</v>
      </c>
      <c r="F33" s="80">
        <v>37.35</v>
      </c>
      <c r="G33" s="80">
        <f>F33-D33</f>
        <v>-1.4600000000000009</v>
      </c>
      <c r="H33" s="32" t="s">
        <v>148</v>
      </c>
      <c r="L33" s="32" t="s">
        <v>36</v>
      </c>
      <c r="M33" s="149">
        <v>40.31</v>
      </c>
      <c r="N33" s="13">
        <v>2</v>
      </c>
      <c r="Q33" t="s">
        <v>218</v>
      </c>
    </row>
    <row r="34" spans="1:17" x14ac:dyDescent="0.25">
      <c r="A34" s="32">
        <v>2</v>
      </c>
      <c r="B34" s="32" t="s">
        <v>45</v>
      </c>
      <c r="C34" s="133">
        <v>90715</v>
      </c>
      <c r="D34" s="80">
        <f>M34-(N34*$P$2)</f>
        <v>46.95</v>
      </c>
      <c r="E34" s="130">
        <v>36.119999999999997</v>
      </c>
      <c r="F34" s="130">
        <v>38.42</v>
      </c>
      <c r="G34" s="80">
        <f t="shared" ref="G34:G43" si="4">F34-D34</f>
        <v>-8.5300000000000011</v>
      </c>
      <c r="H34" s="32" t="s">
        <v>148</v>
      </c>
      <c r="L34" s="32" t="s">
        <v>45</v>
      </c>
      <c r="M34" s="149">
        <v>49.2</v>
      </c>
      <c r="N34" s="13">
        <v>3</v>
      </c>
    </row>
    <row r="35" spans="1:17" x14ac:dyDescent="0.25">
      <c r="A35" s="32">
        <v>3</v>
      </c>
      <c r="B35" s="32" t="s">
        <v>34</v>
      </c>
      <c r="C35" s="133">
        <v>90700</v>
      </c>
      <c r="D35" s="80">
        <f t="shared" ref="D35:D43" si="5">M35-(N35*$P$2)</f>
        <v>28.14</v>
      </c>
      <c r="E35" s="130">
        <v>20.23</v>
      </c>
      <c r="F35" s="130">
        <v>21.52</v>
      </c>
      <c r="G35" s="80">
        <f t="shared" si="4"/>
        <v>-6.620000000000001</v>
      </c>
      <c r="H35" s="32" t="s">
        <v>148</v>
      </c>
      <c r="L35" s="32" t="s">
        <v>34</v>
      </c>
      <c r="M35" s="149">
        <v>30.39</v>
      </c>
      <c r="N35" s="13">
        <v>3</v>
      </c>
    </row>
    <row r="36" spans="1:17" x14ac:dyDescent="0.25">
      <c r="A36" s="32">
        <v>4</v>
      </c>
      <c r="B36" s="32" t="s">
        <v>30</v>
      </c>
      <c r="C36" s="50">
        <v>90698</v>
      </c>
      <c r="D36" s="80">
        <f t="shared" si="5"/>
        <v>116.31</v>
      </c>
      <c r="E36" s="80">
        <v>70.260000000000005</v>
      </c>
      <c r="F36" s="80">
        <v>74.73</v>
      </c>
      <c r="G36" s="80">
        <f t="shared" si="4"/>
        <v>-41.58</v>
      </c>
      <c r="H36" s="32" t="s">
        <v>148</v>
      </c>
      <c r="L36" s="32" t="s">
        <v>30</v>
      </c>
      <c r="M36" s="149">
        <v>120.06</v>
      </c>
      <c r="N36" s="13">
        <v>5</v>
      </c>
    </row>
    <row r="37" spans="1:17" x14ac:dyDescent="0.25">
      <c r="A37" s="32">
        <v>5</v>
      </c>
      <c r="B37" s="32" t="s">
        <v>32</v>
      </c>
      <c r="C37" s="50">
        <v>90648</v>
      </c>
      <c r="D37" s="80">
        <f t="shared" si="5"/>
        <v>12.66</v>
      </c>
      <c r="E37" s="80">
        <v>11.05</v>
      </c>
      <c r="F37" s="80">
        <v>11.75</v>
      </c>
      <c r="G37" s="80">
        <f t="shared" si="4"/>
        <v>-0.91000000000000014</v>
      </c>
      <c r="H37" s="32" t="s">
        <v>148</v>
      </c>
      <c r="L37" s="32" t="s">
        <v>32</v>
      </c>
      <c r="M37" s="149">
        <v>13.41</v>
      </c>
      <c r="N37" s="13">
        <v>1</v>
      </c>
    </row>
    <row r="38" spans="1:17" x14ac:dyDescent="0.25">
      <c r="A38" s="32">
        <v>6</v>
      </c>
      <c r="B38" s="32" t="s">
        <v>125</v>
      </c>
      <c r="C38" s="133">
        <v>90619</v>
      </c>
      <c r="D38" s="80">
        <f t="shared" si="5"/>
        <v>171.22</v>
      </c>
      <c r="E38" s="130">
        <v>117.24</v>
      </c>
      <c r="F38" s="130">
        <v>124.7</v>
      </c>
      <c r="G38" s="80">
        <f t="shared" si="4"/>
        <v>-46.519999999999996</v>
      </c>
      <c r="H38" s="32" t="s">
        <v>148</v>
      </c>
      <c r="L38" s="32" t="s">
        <v>125</v>
      </c>
      <c r="M38" s="149">
        <v>171.97</v>
      </c>
      <c r="N38" s="13">
        <v>1</v>
      </c>
    </row>
    <row r="39" spans="1:17" x14ac:dyDescent="0.25">
      <c r="A39" s="32">
        <v>7</v>
      </c>
      <c r="B39" s="32" t="s">
        <v>79</v>
      </c>
      <c r="C39" s="50" t="s">
        <v>80</v>
      </c>
      <c r="D39" s="80">
        <f t="shared" si="5"/>
        <v>61.569999999999993</v>
      </c>
      <c r="E39" s="80">
        <v>45.66</v>
      </c>
      <c r="F39" s="80">
        <v>48.57</v>
      </c>
      <c r="G39" s="80">
        <f t="shared" si="4"/>
        <v>-12.999999999999993</v>
      </c>
      <c r="H39" s="32" t="s">
        <v>148</v>
      </c>
      <c r="L39" s="32" t="s">
        <v>79</v>
      </c>
      <c r="M39" s="149">
        <v>64.569999999999993</v>
      </c>
      <c r="N39" s="13">
        <v>4</v>
      </c>
    </row>
    <row r="40" spans="1:17" x14ac:dyDescent="0.25">
      <c r="A40" s="32">
        <v>8</v>
      </c>
      <c r="B40" s="32" t="s">
        <v>5</v>
      </c>
      <c r="C40" s="50">
        <v>90713</v>
      </c>
      <c r="D40" s="80">
        <f t="shared" si="5"/>
        <v>43.98</v>
      </c>
      <c r="E40" s="80">
        <v>27.95</v>
      </c>
      <c r="F40" s="80">
        <v>29.73</v>
      </c>
      <c r="G40" s="80">
        <f t="shared" si="4"/>
        <v>-14.249999999999996</v>
      </c>
      <c r="H40" s="32" t="s">
        <v>148</v>
      </c>
      <c r="L40" s="32" t="s">
        <v>5</v>
      </c>
      <c r="M40" s="149">
        <v>44.73</v>
      </c>
      <c r="N40" s="13">
        <v>1</v>
      </c>
    </row>
    <row r="41" spans="1:17" x14ac:dyDescent="0.25">
      <c r="A41" s="32">
        <v>9</v>
      </c>
      <c r="B41" s="131" t="s">
        <v>168</v>
      </c>
      <c r="C41" s="50">
        <v>90380</v>
      </c>
      <c r="D41" s="80">
        <f>M41-(N41*$P$2)</f>
        <v>556.13</v>
      </c>
      <c r="E41" s="32">
        <v>469.92</v>
      </c>
      <c r="F41" s="32">
        <v>489.4</v>
      </c>
      <c r="G41" s="80">
        <f t="shared" si="4"/>
        <v>-66.730000000000018</v>
      </c>
      <c r="H41" s="32" t="s">
        <v>148</v>
      </c>
      <c r="L41" s="51" t="s">
        <v>168</v>
      </c>
      <c r="M41" s="150">
        <v>556.13</v>
      </c>
      <c r="N41" s="5">
        <v>0</v>
      </c>
      <c r="P41" t="s">
        <v>173</v>
      </c>
    </row>
    <row r="42" spans="1:17" x14ac:dyDescent="0.25">
      <c r="A42" s="32">
        <v>9</v>
      </c>
      <c r="B42" s="131" t="s">
        <v>169</v>
      </c>
      <c r="C42" s="50">
        <v>90381</v>
      </c>
      <c r="D42" s="80">
        <f>M42-(N42*$P$2)</f>
        <v>556.13</v>
      </c>
      <c r="E42" s="32">
        <v>469.92</v>
      </c>
      <c r="F42" s="32">
        <v>489.4</v>
      </c>
      <c r="G42" s="80">
        <f t="shared" si="4"/>
        <v>-66.730000000000018</v>
      </c>
      <c r="H42" s="32" t="s">
        <v>148</v>
      </c>
      <c r="L42" s="52" t="s">
        <v>169</v>
      </c>
      <c r="M42" s="151">
        <v>556.13</v>
      </c>
      <c r="N42" s="11">
        <v>0</v>
      </c>
      <c r="P42" t="s">
        <v>173</v>
      </c>
    </row>
    <row r="43" spans="1:17" x14ac:dyDescent="0.25">
      <c r="A43" s="32">
        <v>10</v>
      </c>
      <c r="B43" s="32" t="s">
        <v>126</v>
      </c>
      <c r="C43" s="50">
        <v>90697</v>
      </c>
      <c r="D43" s="80">
        <f t="shared" si="5"/>
        <v>152.19999999999999</v>
      </c>
      <c r="E43" s="80">
        <v>100.3</v>
      </c>
      <c r="F43" s="80">
        <v>136.5</v>
      </c>
      <c r="G43" s="80">
        <f t="shared" si="4"/>
        <v>-15.699999999999989</v>
      </c>
      <c r="H43" s="32" t="s">
        <v>149</v>
      </c>
      <c r="L43" s="32" t="s">
        <v>126</v>
      </c>
      <c r="M43" s="149">
        <v>156.69999999999999</v>
      </c>
      <c r="N43" s="13">
        <v>6</v>
      </c>
    </row>
    <row r="45" spans="1:17" x14ac:dyDescent="0.25">
      <c r="A45" s="140" t="s">
        <v>88</v>
      </c>
      <c r="L45" s="140" t="s">
        <v>88</v>
      </c>
    </row>
    <row r="46" spans="1:17" x14ac:dyDescent="0.25">
      <c r="A46" s="32">
        <v>1</v>
      </c>
      <c r="B46" s="32" t="s">
        <v>145</v>
      </c>
      <c r="C46" s="50">
        <v>90677</v>
      </c>
      <c r="D46" s="159">
        <f>M46-(N46*$P$2)</f>
        <v>273.85000000000002</v>
      </c>
      <c r="E46" s="32">
        <v>234.83</v>
      </c>
      <c r="F46" s="32">
        <v>239.62</v>
      </c>
      <c r="G46" s="167">
        <f>F46-D46</f>
        <v>-34.230000000000018</v>
      </c>
      <c r="H46" s="32" t="s">
        <v>88</v>
      </c>
      <c r="L46" s="32" t="s">
        <v>145</v>
      </c>
      <c r="M46" s="12">
        <v>274.60000000000002</v>
      </c>
      <c r="N46" s="13">
        <v>1</v>
      </c>
      <c r="P46" t="s">
        <v>223</v>
      </c>
      <c r="Q46" t="s">
        <v>219</v>
      </c>
    </row>
    <row r="47" spans="1:17" x14ac:dyDescent="0.25">
      <c r="A47" s="32">
        <v>2</v>
      </c>
      <c r="B47" s="32" t="s">
        <v>87</v>
      </c>
      <c r="C47" s="50">
        <v>90621</v>
      </c>
      <c r="D47" s="159">
        <f t="shared" ref="D47:D50" si="6">M47-(N47*$P$2)</f>
        <v>206.57</v>
      </c>
      <c r="E47" s="32">
        <v>157.9</v>
      </c>
      <c r="F47" s="32">
        <v>161.12</v>
      </c>
      <c r="G47" s="167">
        <f t="shared" ref="G47:G52" si="7">F47-D47</f>
        <v>-45.449999999999989</v>
      </c>
      <c r="H47" s="32" t="s">
        <v>88</v>
      </c>
      <c r="L47" s="32" t="s">
        <v>87</v>
      </c>
      <c r="M47" s="12">
        <v>207.32</v>
      </c>
      <c r="N47" s="13">
        <v>1</v>
      </c>
    </row>
    <row r="48" spans="1:17" x14ac:dyDescent="0.25">
      <c r="A48" s="32">
        <v>3</v>
      </c>
      <c r="B48" s="32" t="s">
        <v>164</v>
      </c>
      <c r="C48" s="138">
        <v>91320</v>
      </c>
      <c r="D48" s="159">
        <f t="shared" si="6"/>
        <v>136</v>
      </c>
      <c r="E48" s="32">
        <v>104.53</v>
      </c>
      <c r="F48" s="32">
        <v>106.67</v>
      </c>
      <c r="G48" s="167">
        <f t="shared" si="7"/>
        <v>-29.33</v>
      </c>
      <c r="H48" s="32" t="s">
        <v>88</v>
      </c>
      <c r="L48" s="32" t="s">
        <v>164</v>
      </c>
      <c r="M48" s="12">
        <v>136.75</v>
      </c>
      <c r="N48" s="13">
        <v>1</v>
      </c>
    </row>
    <row r="49" spans="1:17" x14ac:dyDescent="0.25">
      <c r="A49" s="32">
        <v>5</v>
      </c>
      <c r="B49" s="32" t="s">
        <v>163</v>
      </c>
      <c r="C49" s="139">
        <v>91319</v>
      </c>
      <c r="D49" s="159">
        <f t="shared" si="6"/>
        <v>76.25</v>
      </c>
      <c r="E49" s="32">
        <v>69.42</v>
      </c>
      <c r="F49" s="32">
        <v>70.84</v>
      </c>
      <c r="G49" s="167">
        <f t="shared" si="7"/>
        <v>-5.4099999999999966</v>
      </c>
      <c r="H49" s="32" t="s">
        <v>88</v>
      </c>
      <c r="L49" s="32" t="s">
        <v>163</v>
      </c>
      <c r="M49" s="12">
        <v>77</v>
      </c>
      <c r="N49" s="13">
        <v>1</v>
      </c>
    </row>
    <row r="50" spans="1:17" x14ac:dyDescent="0.25">
      <c r="A50" s="32">
        <v>6</v>
      </c>
      <c r="B50" s="32" t="s">
        <v>162</v>
      </c>
      <c r="C50" s="138">
        <v>91318</v>
      </c>
      <c r="D50" s="159">
        <f t="shared" si="6"/>
        <v>56.75</v>
      </c>
      <c r="E50" s="32">
        <v>51.84</v>
      </c>
      <c r="F50" s="32">
        <v>52.9</v>
      </c>
      <c r="G50" s="167">
        <f t="shared" si="7"/>
        <v>-3.8500000000000014</v>
      </c>
      <c r="H50" s="32" t="s">
        <v>88</v>
      </c>
      <c r="L50" s="32" t="s">
        <v>162</v>
      </c>
      <c r="M50" s="12">
        <v>57.5</v>
      </c>
      <c r="N50" s="13">
        <v>1</v>
      </c>
    </row>
    <row r="51" spans="1:17" x14ac:dyDescent="0.25">
      <c r="A51" s="131">
        <v>7</v>
      </c>
      <c r="B51" s="131" t="s">
        <v>170</v>
      </c>
      <c r="C51" s="166">
        <v>90678</v>
      </c>
      <c r="D51" s="159">
        <f>M51-(N51*$P$2)</f>
        <v>306.8</v>
      </c>
      <c r="E51" s="131">
        <v>270.60000000000002</v>
      </c>
      <c r="F51" s="131">
        <v>276.12</v>
      </c>
      <c r="G51" s="167">
        <f t="shared" si="7"/>
        <v>-30.680000000000007</v>
      </c>
      <c r="H51" s="131" t="s">
        <v>88</v>
      </c>
      <c r="L51" s="131" t="s">
        <v>170</v>
      </c>
      <c r="M51" s="164">
        <v>306.8</v>
      </c>
      <c r="N51" s="13">
        <v>0</v>
      </c>
      <c r="P51" t="s">
        <v>173</v>
      </c>
    </row>
    <row r="52" spans="1:17" x14ac:dyDescent="0.25">
      <c r="A52" s="131">
        <v>8</v>
      </c>
      <c r="B52" s="131" t="s">
        <v>188</v>
      </c>
      <c r="C52" s="166">
        <v>90623</v>
      </c>
      <c r="D52" s="190">
        <f>M52-(N52*$P$2)</f>
        <v>230</v>
      </c>
      <c r="E52" s="131">
        <v>207.37</v>
      </c>
      <c r="F52" s="131">
        <v>211.6</v>
      </c>
      <c r="G52" s="201">
        <f t="shared" si="7"/>
        <v>-18.400000000000006</v>
      </c>
      <c r="H52" s="131" t="s">
        <v>88</v>
      </c>
      <c r="L52" s="131" t="s">
        <v>188</v>
      </c>
      <c r="M52" s="131">
        <v>230.75</v>
      </c>
      <c r="N52" s="131">
        <v>1</v>
      </c>
    </row>
    <row r="53" spans="1:17" x14ac:dyDescent="0.25">
      <c r="D53" s="120"/>
    </row>
    <row r="54" spans="1:17" x14ac:dyDescent="0.25">
      <c r="A54" s="140" t="s">
        <v>161</v>
      </c>
      <c r="L54" s="140" t="s">
        <v>161</v>
      </c>
    </row>
    <row r="55" spans="1:17" x14ac:dyDescent="0.25">
      <c r="A55" s="32">
        <v>1</v>
      </c>
      <c r="B55" s="32" t="s">
        <v>165</v>
      </c>
      <c r="C55" s="139">
        <v>91322</v>
      </c>
      <c r="D55" s="159">
        <f>M55-(N55*$P$2)</f>
        <v>141.05000000000001</v>
      </c>
      <c r="E55" s="32">
        <v>100.84</v>
      </c>
      <c r="F55" s="32">
        <v>102.9</v>
      </c>
      <c r="G55" s="167">
        <f>F55-D55</f>
        <v>-38.150000000000006</v>
      </c>
      <c r="H55" s="32" t="s">
        <v>161</v>
      </c>
      <c r="L55" s="32" t="s">
        <v>165</v>
      </c>
      <c r="M55" s="156">
        <v>141.80000000000001</v>
      </c>
      <c r="N55" s="13">
        <v>1</v>
      </c>
    </row>
    <row r="56" spans="1:17" x14ac:dyDescent="0.25">
      <c r="A56" s="32">
        <v>2</v>
      </c>
      <c r="B56" s="32" t="s">
        <v>166</v>
      </c>
      <c r="C56" s="139">
        <v>91321</v>
      </c>
      <c r="D56" s="159">
        <f>M56-(N56*$P$2)</f>
        <v>128.25</v>
      </c>
      <c r="E56" s="32">
        <v>91.24</v>
      </c>
      <c r="F56" s="32">
        <v>93.1</v>
      </c>
      <c r="G56" s="167">
        <f>F56-D56</f>
        <v>-35.150000000000006</v>
      </c>
      <c r="H56" s="32" t="s">
        <v>161</v>
      </c>
      <c r="L56" s="32" t="s">
        <v>166</v>
      </c>
      <c r="M56" s="156">
        <v>129</v>
      </c>
      <c r="N56" s="13">
        <v>1</v>
      </c>
    </row>
    <row r="57" spans="1:17" x14ac:dyDescent="0.25">
      <c r="A57" s="32">
        <v>3</v>
      </c>
      <c r="B57" s="32" t="s">
        <v>213</v>
      </c>
      <c r="C57" s="139">
        <v>90683</v>
      </c>
      <c r="D57" s="159"/>
      <c r="E57" s="32">
        <v>198.94</v>
      </c>
      <c r="F57" s="32">
        <v>203</v>
      </c>
      <c r="G57" s="167"/>
      <c r="H57" s="32" t="s">
        <v>161</v>
      </c>
      <c r="L57" s="32" t="s">
        <v>213</v>
      </c>
      <c r="M57" s="159"/>
      <c r="N57" s="32">
        <v>1</v>
      </c>
      <c r="P57" t="s">
        <v>220</v>
      </c>
    </row>
    <row r="59" spans="1:17" x14ac:dyDescent="0.25">
      <c r="A59" s="140" t="s">
        <v>123</v>
      </c>
      <c r="L59" s="140" t="s">
        <v>123</v>
      </c>
    </row>
    <row r="60" spans="1:17" x14ac:dyDescent="0.25">
      <c r="A60" s="32">
        <v>1</v>
      </c>
      <c r="B60" s="32" t="s">
        <v>151</v>
      </c>
      <c r="C60" s="50">
        <v>90739</v>
      </c>
      <c r="D60" s="32">
        <f>M60-(N60*$P$2)</f>
        <v>146.88</v>
      </c>
      <c r="E60" s="32">
        <v>132.97999999999999</v>
      </c>
      <c r="F60" s="32">
        <v>137.06</v>
      </c>
      <c r="G60" s="202">
        <f>F60-D60</f>
        <v>-9.8199999999999932</v>
      </c>
      <c r="H60" s="32" t="s">
        <v>123</v>
      </c>
      <c r="L60" s="32" t="s">
        <v>151</v>
      </c>
      <c r="M60" s="12">
        <v>147.63</v>
      </c>
      <c r="N60" s="13">
        <v>1</v>
      </c>
      <c r="Q60" t="s">
        <v>219</v>
      </c>
    </row>
    <row r="62" spans="1:17" x14ac:dyDescent="0.25">
      <c r="A62" s="140" t="s">
        <v>214</v>
      </c>
      <c r="L62" s="140" t="s">
        <v>214</v>
      </c>
    </row>
    <row r="63" spans="1:17" x14ac:dyDescent="0.25">
      <c r="A63" s="32">
        <v>1</v>
      </c>
      <c r="B63" s="32" t="s">
        <v>215</v>
      </c>
      <c r="C63" s="50">
        <v>91304</v>
      </c>
      <c r="D63" s="32">
        <v>141.69999999999999</v>
      </c>
      <c r="E63" s="32">
        <v>97.8</v>
      </c>
      <c r="F63" s="32">
        <v>105</v>
      </c>
      <c r="G63" s="202">
        <f>F63-D63</f>
        <v>-36.699999999999989</v>
      </c>
      <c r="H63" s="32" t="s">
        <v>214</v>
      </c>
      <c r="L63" s="32" t="s">
        <v>215</v>
      </c>
      <c r="M63" s="12">
        <v>141.69999999999999</v>
      </c>
      <c r="N63" s="13"/>
    </row>
    <row r="64" spans="1:17" x14ac:dyDescent="0.25">
      <c r="A64" s="90"/>
      <c r="B64" s="90"/>
      <c r="C64" s="123"/>
      <c r="D64" s="90"/>
      <c r="E64" s="90"/>
      <c r="F64" s="90"/>
      <c r="G64" s="97"/>
      <c r="H64" s="90"/>
      <c r="L64" s="90"/>
      <c r="M64" s="90"/>
      <c r="N64" s="90"/>
    </row>
    <row r="65" spans="1:18" x14ac:dyDescent="0.25">
      <c r="A65" s="140" t="s">
        <v>171</v>
      </c>
      <c r="L65" s="140" t="s">
        <v>171</v>
      </c>
    </row>
    <row r="66" spans="1:18" x14ac:dyDescent="0.25">
      <c r="A66" s="32">
        <v>1</v>
      </c>
      <c r="B66" s="12" t="s">
        <v>190</v>
      </c>
      <c r="C66" s="32">
        <v>90686</v>
      </c>
      <c r="D66" s="32">
        <f>M66-(N66*$P$2)</f>
        <v>19.928999999999998</v>
      </c>
      <c r="E66" s="32">
        <v>16.559999999999999</v>
      </c>
      <c r="F66" s="32">
        <v>18.399999999999999</v>
      </c>
      <c r="G66" s="167">
        <f>F66-D66</f>
        <v>-1.5289999999999999</v>
      </c>
      <c r="H66" s="13" t="s">
        <v>148</v>
      </c>
      <c r="L66" s="32" t="s">
        <v>200</v>
      </c>
      <c r="M66" s="32">
        <v>20.678999999999998</v>
      </c>
      <c r="N66" s="32">
        <v>1</v>
      </c>
      <c r="Q66" t="s">
        <v>219</v>
      </c>
    </row>
    <row r="67" spans="1:18" x14ac:dyDescent="0.25">
      <c r="A67" s="32">
        <v>2</v>
      </c>
      <c r="B67" s="12" t="s">
        <v>191</v>
      </c>
      <c r="C67" s="32">
        <v>90662</v>
      </c>
      <c r="D67" s="32">
        <v>73.403000000000006</v>
      </c>
      <c r="E67" s="32">
        <v>63.28</v>
      </c>
      <c r="F67" s="32">
        <v>65.900000000000006</v>
      </c>
      <c r="G67" s="167">
        <f>F67-D67</f>
        <v>-7.5030000000000001</v>
      </c>
      <c r="H67" s="13" t="s">
        <v>148</v>
      </c>
      <c r="L67" s="32" t="s">
        <v>201</v>
      </c>
      <c r="M67" s="32">
        <v>73.403000000000006</v>
      </c>
      <c r="N67" s="32">
        <v>1</v>
      </c>
      <c r="P67" t="s">
        <v>202</v>
      </c>
    </row>
    <row r="68" spans="1:18" x14ac:dyDescent="0.25">
      <c r="A68" s="32">
        <v>3</v>
      </c>
      <c r="B68" s="12" t="s">
        <v>192</v>
      </c>
      <c r="C68" s="32">
        <v>90682</v>
      </c>
      <c r="D68" s="32">
        <v>73.403000000000006</v>
      </c>
      <c r="E68" s="32">
        <v>63.28</v>
      </c>
      <c r="F68" s="32">
        <v>65.900000000000006</v>
      </c>
      <c r="G68" s="167">
        <f>F68-D68</f>
        <v>-7.5030000000000001</v>
      </c>
      <c r="H68" s="13" t="s">
        <v>148</v>
      </c>
      <c r="L68" s="32" t="s">
        <v>205</v>
      </c>
      <c r="M68" s="32">
        <v>73.403000000000006</v>
      </c>
      <c r="N68" s="32">
        <v>1</v>
      </c>
      <c r="P68" t="s">
        <v>202</v>
      </c>
    </row>
    <row r="69" spans="1:18" x14ac:dyDescent="0.25">
      <c r="A69" s="32">
        <v>4</v>
      </c>
      <c r="B69" s="12" t="s">
        <v>193</v>
      </c>
      <c r="C69" s="32">
        <v>90672</v>
      </c>
      <c r="D69" s="32">
        <f t="shared" ref="D69:D71" si="8">M69-(N69*$P$2)</f>
        <v>23.95</v>
      </c>
      <c r="E69" s="32">
        <v>21.88</v>
      </c>
      <c r="F69" s="32">
        <v>21.88</v>
      </c>
      <c r="G69" s="167">
        <f>F69-D69</f>
        <v>-2.0700000000000003</v>
      </c>
      <c r="H69" s="13" t="s">
        <v>194</v>
      </c>
      <c r="L69" s="32" t="s">
        <v>193</v>
      </c>
      <c r="M69" s="32">
        <v>24.7</v>
      </c>
      <c r="N69" s="32">
        <v>1</v>
      </c>
    </row>
    <row r="70" spans="1:18" x14ac:dyDescent="0.25">
      <c r="A70" s="32">
        <v>5</v>
      </c>
      <c r="B70" s="12" t="s">
        <v>195</v>
      </c>
      <c r="C70" s="32">
        <v>90686</v>
      </c>
      <c r="D70" s="32">
        <f t="shared" si="8"/>
        <v>18.98</v>
      </c>
      <c r="E70" s="168"/>
      <c r="F70" s="168"/>
      <c r="G70" s="169"/>
      <c r="H70" s="13" t="s">
        <v>89</v>
      </c>
      <c r="L70" s="32" t="s">
        <v>195</v>
      </c>
      <c r="M70" s="32">
        <v>19.73</v>
      </c>
      <c r="N70" s="32">
        <v>1</v>
      </c>
    </row>
    <row r="71" spans="1:18" x14ac:dyDescent="0.25">
      <c r="A71" s="32">
        <v>6</v>
      </c>
      <c r="B71" s="12" t="s">
        <v>196</v>
      </c>
      <c r="C71" s="32">
        <v>90686</v>
      </c>
      <c r="D71" s="32">
        <f t="shared" si="8"/>
        <v>18.98</v>
      </c>
      <c r="E71" s="168"/>
      <c r="F71" s="168"/>
      <c r="G71" s="169"/>
      <c r="H71" s="13" t="s">
        <v>89</v>
      </c>
      <c r="L71" s="32" t="s">
        <v>196</v>
      </c>
      <c r="M71" s="32">
        <v>19.73</v>
      </c>
      <c r="N71" s="32">
        <v>1</v>
      </c>
    </row>
    <row r="72" spans="1:18" x14ac:dyDescent="0.25">
      <c r="A72" s="131">
        <v>7</v>
      </c>
      <c r="B72" s="55" t="s">
        <v>203</v>
      </c>
      <c r="C72" s="131">
        <v>90674</v>
      </c>
      <c r="D72" s="131">
        <f>M72-(N72*$P$2)</f>
        <v>31.700000000000003</v>
      </c>
      <c r="E72" s="131">
        <v>23.46</v>
      </c>
      <c r="F72" s="131">
        <v>23.94</v>
      </c>
      <c r="G72" s="167">
        <f t="shared" ref="G72:G73" si="9">F72-D72</f>
        <v>-7.7600000000000016</v>
      </c>
      <c r="H72" s="160" t="s">
        <v>204</v>
      </c>
      <c r="L72" s="131" t="s">
        <v>203</v>
      </c>
      <c r="M72" s="131">
        <v>32.450000000000003</v>
      </c>
      <c r="N72" s="131">
        <v>1</v>
      </c>
    </row>
    <row r="73" spans="1:18" x14ac:dyDescent="0.25">
      <c r="A73" s="131">
        <v>8</v>
      </c>
      <c r="B73" s="55" t="s">
        <v>206</v>
      </c>
      <c r="C73" s="131">
        <v>90688</v>
      </c>
      <c r="D73" s="131">
        <f>M73-(N73*$P$2)</f>
        <v>20.84</v>
      </c>
      <c r="E73" s="131">
        <v>15.03</v>
      </c>
      <c r="F73" s="131">
        <v>15.34</v>
      </c>
      <c r="G73" s="167">
        <f t="shared" si="9"/>
        <v>-5.5</v>
      </c>
      <c r="H73" s="160" t="s">
        <v>204</v>
      </c>
      <c r="L73" s="131" t="s">
        <v>206</v>
      </c>
      <c r="M73" s="131">
        <v>21.59</v>
      </c>
      <c r="N73" s="131">
        <v>1</v>
      </c>
    </row>
    <row r="74" spans="1:18" x14ac:dyDescent="0.25">
      <c r="A74" s="131">
        <v>9</v>
      </c>
      <c r="B74" s="55" t="s">
        <v>209</v>
      </c>
      <c r="C74" s="131"/>
      <c r="D74" s="196">
        <v>68.23</v>
      </c>
      <c r="E74" s="131">
        <v>62.81</v>
      </c>
      <c r="F74" s="131">
        <v>64.099999999999994</v>
      </c>
      <c r="G74" s="167">
        <f>F74-D74</f>
        <v>-4.1300000000000097</v>
      </c>
      <c r="H74" s="160" t="s">
        <v>204</v>
      </c>
      <c r="L74" s="131" t="s">
        <v>209</v>
      </c>
      <c r="M74" s="131"/>
      <c r="N74" s="131">
        <v>1</v>
      </c>
      <c r="P74" t="s">
        <v>202</v>
      </c>
      <c r="Q74" s="197"/>
      <c r="R74" t="s">
        <v>210</v>
      </c>
    </row>
    <row r="76" spans="1:18" x14ac:dyDescent="0.25">
      <c r="A76" s="140" t="s">
        <v>89</v>
      </c>
      <c r="L76" s="140" t="s">
        <v>89</v>
      </c>
    </row>
    <row r="77" spans="1:18" ht="60" x14ac:dyDescent="0.25">
      <c r="D77" s="142" t="s">
        <v>90</v>
      </c>
      <c r="E77" s="143" t="s">
        <v>120</v>
      </c>
      <c r="F77" s="143" t="s">
        <v>105</v>
      </c>
      <c r="G77" s="143" t="s">
        <v>155</v>
      </c>
      <c r="M77" s="3" t="s">
        <v>172</v>
      </c>
      <c r="N77" s="3" t="s">
        <v>150</v>
      </c>
    </row>
    <row r="78" spans="1:18" x14ac:dyDescent="0.25">
      <c r="A78" s="12">
        <v>1</v>
      </c>
      <c r="B78" s="29" t="s">
        <v>3</v>
      </c>
      <c r="C78" s="32"/>
      <c r="D78" s="144">
        <f>M78-(N78*$P$2)</f>
        <v>146.27000000000001</v>
      </c>
      <c r="E78" s="147">
        <v>96.69</v>
      </c>
      <c r="F78" s="144">
        <v>101.58</v>
      </c>
      <c r="G78" s="144">
        <v>101.58</v>
      </c>
      <c r="L78" s="32" t="s">
        <v>3</v>
      </c>
      <c r="M78" s="156">
        <v>147.02000000000001</v>
      </c>
      <c r="N78" s="13">
        <v>1</v>
      </c>
      <c r="Q78" t="s">
        <v>224</v>
      </c>
    </row>
    <row r="79" spans="1:18" x14ac:dyDescent="0.25">
      <c r="A79" s="4">
        <v>2</v>
      </c>
      <c r="B79" s="96" t="s">
        <v>82</v>
      </c>
      <c r="C79" s="32"/>
      <c r="D79" s="144">
        <f t="shared" ref="D79:D92" si="10">M79-(N79*$P$2)</f>
        <v>38.380000000000003</v>
      </c>
      <c r="E79" s="145">
        <v>25.06</v>
      </c>
      <c r="F79" s="124">
        <v>26.59</v>
      </c>
      <c r="G79" s="124">
        <v>26.59</v>
      </c>
      <c r="L79" s="51" t="s">
        <v>82</v>
      </c>
      <c r="M79" s="157">
        <v>39.130000000000003</v>
      </c>
      <c r="N79" s="5">
        <v>1</v>
      </c>
    </row>
    <row r="80" spans="1:18" x14ac:dyDescent="0.25">
      <c r="A80" s="10">
        <v>3</v>
      </c>
      <c r="B80" s="129" t="s">
        <v>83</v>
      </c>
      <c r="C80" s="32"/>
      <c r="D80" s="144">
        <f t="shared" si="10"/>
        <v>85.4</v>
      </c>
      <c r="E80" s="146">
        <v>60.82</v>
      </c>
      <c r="F80" s="125">
        <v>65.150000000000006</v>
      </c>
      <c r="G80" s="125">
        <v>65.150000000000006</v>
      </c>
      <c r="L80" s="52" t="s">
        <v>83</v>
      </c>
      <c r="M80" s="158">
        <v>86.15</v>
      </c>
      <c r="N80" s="11">
        <v>1</v>
      </c>
    </row>
    <row r="81" spans="1:16" x14ac:dyDescent="0.25">
      <c r="A81" s="4">
        <v>4</v>
      </c>
      <c r="B81" s="96" t="s">
        <v>84</v>
      </c>
      <c r="C81" s="32"/>
      <c r="D81" s="144">
        <f t="shared" si="10"/>
        <v>28.5</v>
      </c>
      <c r="E81" s="145">
        <v>22.74</v>
      </c>
      <c r="F81" s="124">
        <v>16.690000000000001</v>
      </c>
      <c r="G81" s="124">
        <v>16.690000000000001</v>
      </c>
      <c r="L81" s="51" t="s">
        <v>84</v>
      </c>
      <c r="M81" s="157">
        <v>29.25</v>
      </c>
      <c r="N81" s="5">
        <v>1</v>
      </c>
    </row>
    <row r="82" spans="1:16" x14ac:dyDescent="0.25">
      <c r="A82" s="10">
        <v>5</v>
      </c>
      <c r="B82" s="129" t="s">
        <v>85</v>
      </c>
      <c r="C82" s="32"/>
      <c r="D82" s="144">
        <f t="shared" si="10"/>
        <v>71.489999999999995</v>
      </c>
      <c r="E82" s="146">
        <v>47.13</v>
      </c>
      <c r="F82" s="125">
        <v>43.15</v>
      </c>
      <c r="G82" s="125">
        <v>43.15</v>
      </c>
      <c r="L82" s="52" t="s">
        <v>85</v>
      </c>
      <c r="M82" s="158">
        <v>72.239999999999995</v>
      </c>
      <c r="N82" s="11">
        <v>1</v>
      </c>
    </row>
    <row r="83" spans="1:16" x14ac:dyDescent="0.25">
      <c r="A83" s="32">
        <v>6</v>
      </c>
      <c r="B83" s="32" t="s">
        <v>26</v>
      </c>
      <c r="C83" s="32"/>
      <c r="D83" s="144">
        <f t="shared" si="10"/>
        <v>130.93</v>
      </c>
      <c r="E83" s="144">
        <v>88.18</v>
      </c>
      <c r="F83" s="144">
        <v>89.98</v>
      </c>
      <c r="G83" s="144">
        <v>89.98</v>
      </c>
      <c r="L83" s="32" t="s">
        <v>26</v>
      </c>
      <c r="M83" s="156">
        <v>132.43</v>
      </c>
      <c r="N83" s="13">
        <v>2</v>
      </c>
    </row>
    <row r="84" spans="1:16" x14ac:dyDescent="0.25">
      <c r="A84" s="32">
        <v>7</v>
      </c>
      <c r="B84" s="32" t="s">
        <v>0</v>
      </c>
      <c r="C84" s="32"/>
      <c r="D84" s="144">
        <f t="shared" si="10"/>
        <v>99.87</v>
      </c>
      <c r="E84" s="144">
        <v>56.46</v>
      </c>
      <c r="F84" s="144">
        <v>58.15</v>
      </c>
      <c r="G84" s="144">
        <v>58.15</v>
      </c>
      <c r="L84" s="32" t="s">
        <v>0</v>
      </c>
      <c r="M84" s="156">
        <v>103.62</v>
      </c>
      <c r="N84" s="13">
        <v>5</v>
      </c>
    </row>
    <row r="85" spans="1:16" x14ac:dyDescent="0.25">
      <c r="A85" s="32">
        <v>8</v>
      </c>
      <c r="B85" s="32" t="s">
        <v>104</v>
      </c>
      <c r="C85" s="32"/>
      <c r="D85" s="144">
        <f t="shared" si="10"/>
        <v>12.42</v>
      </c>
      <c r="E85" s="144">
        <v>9.4700000000000006</v>
      </c>
      <c r="F85" s="144">
        <v>9.66</v>
      </c>
      <c r="G85" s="144">
        <v>9.66</v>
      </c>
      <c r="L85" s="32" t="s">
        <v>104</v>
      </c>
      <c r="M85" s="156">
        <v>13.17</v>
      </c>
      <c r="N85" s="13">
        <v>1</v>
      </c>
    </row>
    <row r="86" spans="1:16" x14ac:dyDescent="0.25">
      <c r="A86" s="32">
        <v>9</v>
      </c>
      <c r="B86" s="32" t="s">
        <v>1</v>
      </c>
      <c r="C86" s="32"/>
      <c r="D86" s="144">
        <f t="shared" si="10"/>
        <v>27.34</v>
      </c>
      <c r="E86" s="144">
        <v>17.260000000000002</v>
      </c>
      <c r="F86" s="144">
        <v>18.48</v>
      </c>
      <c r="G86" s="144">
        <v>18.48</v>
      </c>
      <c r="L86" s="32" t="s">
        <v>1</v>
      </c>
      <c r="M86" s="156">
        <v>29.59</v>
      </c>
      <c r="N86" s="13">
        <v>3</v>
      </c>
    </row>
    <row r="87" spans="1:16" x14ac:dyDescent="0.25">
      <c r="A87" s="32">
        <v>10</v>
      </c>
      <c r="B87" s="32" t="s">
        <v>2</v>
      </c>
      <c r="C87" s="32"/>
      <c r="D87" s="144">
        <f t="shared" si="10"/>
        <v>59.82</v>
      </c>
      <c r="E87" s="144">
        <v>39.200000000000003</v>
      </c>
      <c r="F87" s="144">
        <v>41.98</v>
      </c>
      <c r="G87" s="144">
        <v>41.98</v>
      </c>
      <c r="L87" s="32" t="s">
        <v>2</v>
      </c>
      <c r="M87" s="156">
        <v>62.82</v>
      </c>
      <c r="N87" s="13">
        <v>4</v>
      </c>
    </row>
    <row r="88" spans="1:16" x14ac:dyDescent="0.25">
      <c r="A88" s="32">
        <v>11</v>
      </c>
      <c r="B88" s="32" t="s">
        <v>4</v>
      </c>
      <c r="C88" s="32"/>
      <c r="D88" s="144">
        <f t="shared" si="10"/>
        <v>46.5</v>
      </c>
      <c r="E88" s="144">
        <v>32.119999999999997</v>
      </c>
      <c r="F88" s="144">
        <v>34.08</v>
      </c>
      <c r="G88" s="144">
        <v>34.08</v>
      </c>
      <c r="L88" s="32" t="s">
        <v>4</v>
      </c>
      <c r="M88" s="156">
        <v>48.75</v>
      </c>
      <c r="N88" s="13">
        <v>3</v>
      </c>
    </row>
    <row r="89" spans="1:16" x14ac:dyDescent="0.25">
      <c r="A89" s="32">
        <v>12</v>
      </c>
      <c r="B89" s="32" t="s">
        <v>28</v>
      </c>
      <c r="C89" s="32"/>
      <c r="D89" s="144">
        <f t="shared" si="10"/>
        <v>166</v>
      </c>
      <c r="E89" s="144">
        <v>97.11</v>
      </c>
      <c r="F89" s="144">
        <v>104.02</v>
      </c>
      <c r="G89" s="144">
        <v>104.02</v>
      </c>
      <c r="L89" s="32" t="s">
        <v>28</v>
      </c>
      <c r="M89" s="156">
        <v>166.75</v>
      </c>
      <c r="N89" s="13">
        <v>1</v>
      </c>
    </row>
    <row r="90" spans="1:16" x14ac:dyDescent="0.25">
      <c r="A90" s="32">
        <v>13</v>
      </c>
      <c r="B90" s="32" t="s">
        <v>86</v>
      </c>
      <c r="C90" s="32"/>
      <c r="D90" s="144">
        <f t="shared" si="10"/>
        <v>236.38</v>
      </c>
      <c r="E90" s="144">
        <v>148.38</v>
      </c>
      <c r="F90" s="144">
        <v>162.79</v>
      </c>
      <c r="G90" s="144">
        <v>162.79</v>
      </c>
      <c r="L90" s="32" t="s">
        <v>86</v>
      </c>
      <c r="M90" s="156">
        <v>237.13</v>
      </c>
      <c r="N90" s="13">
        <v>1</v>
      </c>
      <c r="P90" t="s">
        <v>225</v>
      </c>
    </row>
    <row r="91" spans="1:16" x14ac:dyDescent="0.25">
      <c r="A91" s="32">
        <v>14</v>
      </c>
      <c r="B91" s="32" t="s">
        <v>122</v>
      </c>
      <c r="C91" s="32"/>
      <c r="D91" s="144">
        <f t="shared" si="10"/>
        <v>214.76</v>
      </c>
      <c r="E91" s="144">
        <v>145.41999999999999</v>
      </c>
      <c r="F91" s="144">
        <v>148.38999999999999</v>
      </c>
      <c r="G91" s="144">
        <v>148.38999999999999</v>
      </c>
      <c r="L91" s="32" t="s">
        <v>122</v>
      </c>
      <c r="M91" s="156">
        <v>215.51</v>
      </c>
      <c r="N91" s="13">
        <v>1</v>
      </c>
      <c r="P91" t="s">
        <v>226</v>
      </c>
    </row>
    <row r="92" spans="1:16" x14ac:dyDescent="0.25">
      <c r="A92" s="131">
        <v>15</v>
      </c>
      <c r="B92" s="131" t="s">
        <v>183</v>
      </c>
      <c r="C92" s="56"/>
      <c r="D92" s="144">
        <f t="shared" si="10"/>
        <v>92.95</v>
      </c>
      <c r="E92" s="131"/>
      <c r="F92" s="131"/>
      <c r="G92" s="160"/>
      <c r="L92" s="32" t="s">
        <v>183</v>
      </c>
      <c r="M92" s="156">
        <v>95.2</v>
      </c>
      <c r="N92" s="13">
        <v>3</v>
      </c>
    </row>
    <row r="93" spans="1:16" x14ac:dyDescent="0.25">
      <c r="A93" s="131">
        <v>16</v>
      </c>
      <c r="B93" s="131" t="s">
        <v>182</v>
      </c>
      <c r="C93" s="56"/>
      <c r="D93" s="190">
        <v>294</v>
      </c>
      <c r="E93" s="131"/>
      <c r="F93" s="131"/>
      <c r="G93" s="160"/>
      <c r="L93" s="32" t="s">
        <v>182</v>
      </c>
      <c r="M93" s="149">
        <v>294</v>
      </c>
      <c r="N93" s="165">
        <v>0</v>
      </c>
      <c r="P93" t="s">
        <v>189</v>
      </c>
    </row>
    <row r="94" spans="1:16" x14ac:dyDescent="0.25">
      <c r="A94" s="83"/>
      <c r="B94" s="83"/>
      <c r="L94" s="90"/>
      <c r="M94" s="90"/>
      <c r="N94" s="148"/>
    </row>
    <row r="95" spans="1:16" x14ac:dyDescent="0.25">
      <c r="A95" s="83"/>
    </row>
  </sheetData>
  <conditionalFormatting sqref="G3:G16 G18:G31">
    <cfRule type="cellIs" dxfId="4" priority="5" operator="greaterThan">
      <formula>0</formula>
    </cfRule>
  </conditionalFormatting>
  <conditionalFormatting sqref="G33:G43">
    <cfRule type="cellIs" dxfId="3" priority="4" operator="greaterThan">
      <formula>0</formula>
    </cfRule>
  </conditionalFormatting>
  <conditionalFormatting sqref="G46:G52">
    <cfRule type="cellIs" dxfId="2" priority="3" operator="greaterThan">
      <formula>0</formula>
    </cfRule>
  </conditionalFormatting>
  <conditionalFormatting sqref="G55:G57">
    <cfRule type="cellIs" dxfId="1" priority="2" operator="greaterThan">
      <formula>0</formula>
    </cfRule>
  </conditionalFormatting>
  <conditionalFormatting sqref="G66:G74">
    <cfRule type="cellIs" dxfId="0" priority="1" operator="greater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S18"/>
  <sheetViews>
    <sheetView workbookViewId="0">
      <selection activeCell="A15" sqref="A15"/>
    </sheetView>
  </sheetViews>
  <sheetFormatPr defaultRowHeight="15" x14ac:dyDescent="0.25"/>
  <sheetData>
    <row r="1" spans="1:19" x14ac:dyDescent="0.25">
      <c r="A1" s="3" t="s">
        <v>53</v>
      </c>
    </row>
    <row r="2" spans="1:19" ht="17.25" x14ac:dyDescent="0.25">
      <c r="A2" t="s">
        <v>46</v>
      </c>
      <c r="C2" s="20"/>
      <c r="D2" s="15"/>
      <c r="E2" s="9"/>
      <c r="F2" s="15"/>
      <c r="G2" s="15"/>
      <c r="H2" s="21"/>
      <c r="I2" s="21"/>
      <c r="J2" s="6"/>
      <c r="K2" s="15"/>
      <c r="L2" s="17"/>
      <c r="M2" s="19"/>
      <c r="N2" s="16"/>
      <c r="O2" s="16"/>
      <c r="P2" s="16"/>
      <c r="Q2" s="21"/>
      <c r="R2" s="6"/>
      <c r="S2" s="21"/>
    </row>
    <row r="3" spans="1:19" ht="17.25" x14ac:dyDescent="0.25">
      <c r="A3" t="s">
        <v>43</v>
      </c>
      <c r="C3" s="20"/>
      <c r="D3" s="15"/>
      <c r="E3" s="9"/>
      <c r="F3" s="15"/>
      <c r="G3" s="15"/>
      <c r="H3" s="3"/>
      <c r="I3" s="3"/>
      <c r="K3" s="15"/>
      <c r="L3" s="17"/>
      <c r="M3" s="19"/>
      <c r="N3" s="16"/>
      <c r="O3" s="16"/>
      <c r="P3" s="16"/>
      <c r="Q3" s="3"/>
      <c r="S3" s="3"/>
    </row>
    <row r="4" spans="1:19" ht="17.25" x14ac:dyDescent="0.25">
      <c r="A4" t="s">
        <v>44</v>
      </c>
      <c r="C4" s="20"/>
      <c r="D4" s="15"/>
      <c r="E4" s="9"/>
      <c r="F4" s="15"/>
      <c r="G4" s="15"/>
      <c r="H4" s="3"/>
      <c r="I4" s="3"/>
      <c r="K4" s="15"/>
      <c r="L4" s="17"/>
      <c r="M4" s="19"/>
      <c r="N4" s="16"/>
      <c r="O4" s="16"/>
      <c r="P4" s="16"/>
      <c r="Q4" s="3"/>
      <c r="S4" s="3"/>
    </row>
    <row r="5" spans="1:19" ht="17.25" x14ac:dyDescent="0.25">
      <c r="A5" t="s">
        <v>110</v>
      </c>
      <c r="C5" s="20"/>
      <c r="D5" s="15"/>
      <c r="E5" s="9"/>
      <c r="F5" s="15"/>
      <c r="G5" s="15"/>
      <c r="H5" s="3"/>
      <c r="I5" s="3"/>
      <c r="K5" s="15"/>
      <c r="L5" s="17"/>
      <c r="M5" s="19"/>
      <c r="N5" s="16"/>
      <c r="O5" s="16"/>
      <c r="P5" s="16"/>
      <c r="Q5" s="3"/>
      <c r="S5" s="3"/>
    </row>
    <row r="6" spans="1:19" ht="17.25" x14ac:dyDescent="0.25">
      <c r="A6" t="s">
        <v>111</v>
      </c>
      <c r="C6" s="20"/>
      <c r="D6" s="15"/>
      <c r="E6" s="9"/>
      <c r="F6" s="15"/>
      <c r="G6" s="15"/>
      <c r="H6" s="3"/>
      <c r="I6" s="3"/>
      <c r="K6" s="15"/>
      <c r="L6" s="17"/>
      <c r="M6" s="19"/>
      <c r="N6" s="16"/>
      <c r="O6" s="16"/>
      <c r="P6" s="16"/>
      <c r="Q6" s="3"/>
      <c r="S6" s="3"/>
    </row>
    <row r="7" spans="1:19" ht="17.25" x14ac:dyDescent="0.25">
      <c r="A7" t="s">
        <v>112</v>
      </c>
      <c r="C7" s="20"/>
      <c r="D7" s="15"/>
      <c r="E7" s="9"/>
      <c r="F7" s="15"/>
      <c r="G7" s="15"/>
      <c r="H7" s="3"/>
      <c r="I7" s="3"/>
      <c r="K7" s="15"/>
      <c r="L7" s="17"/>
      <c r="M7" s="19"/>
      <c r="N7" s="18"/>
      <c r="O7" s="16"/>
      <c r="P7" s="16"/>
      <c r="Q7" s="3"/>
      <c r="S7" s="3"/>
    </row>
    <row r="8" spans="1:19" ht="17.25" x14ac:dyDescent="0.25">
      <c r="A8" t="s">
        <v>113</v>
      </c>
      <c r="C8" s="20"/>
      <c r="D8" s="15"/>
      <c r="E8" s="9"/>
      <c r="F8" s="15"/>
      <c r="G8" s="15"/>
      <c r="H8" s="3"/>
      <c r="I8" s="3"/>
      <c r="K8" s="15"/>
      <c r="L8" s="17"/>
      <c r="M8" s="19"/>
      <c r="N8" s="18"/>
      <c r="O8" s="16"/>
      <c r="P8" s="16"/>
      <c r="Q8" s="3"/>
      <c r="S8" s="3"/>
    </row>
    <row r="9" spans="1:19" ht="17.25" x14ac:dyDescent="0.25">
      <c r="A9" t="s">
        <v>47</v>
      </c>
      <c r="C9" s="20"/>
      <c r="D9" s="15"/>
      <c r="E9" s="9"/>
      <c r="F9" s="15"/>
      <c r="G9" s="15"/>
      <c r="H9" s="3"/>
      <c r="I9" s="3"/>
      <c r="K9" s="15"/>
      <c r="L9" s="17"/>
      <c r="M9" s="19"/>
      <c r="N9" s="18"/>
      <c r="O9" s="16"/>
      <c r="P9" s="16"/>
      <c r="Q9" s="3"/>
      <c r="S9" s="3"/>
    </row>
    <row r="10" spans="1:19" ht="17.25" x14ac:dyDescent="0.25">
      <c r="A10" t="s">
        <v>114</v>
      </c>
      <c r="C10" s="20"/>
      <c r="D10" s="15"/>
      <c r="E10" s="9"/>
      <c r="F10" s="15"/>
      <c r="G10" s="15"/>
      <c r="H10" s="3"/>
      <c r="I10" s="3"/>
      <c r="K10" s="15"/>
      <c r="L10" s="17"/>
      <c r="M10" s="19"/>
      <c r="N10" s="16"/>
      <c r="O10" s="16"/>
      <c r="P10" s="16"/>
      <c r="Q10" s="3"/>
      <c r="S10" s="3"/>
    </row>
    <row r="11" spans="1:19" ht="17.25" x14ac:dyDescent="0.25">
      <c r="A11" t="s">
        <v>48</v>
      </c>
      <c r="C11" s="20"/>
      <c r="D11" s="15"/>
      <c r="E11" s="9"/>
      <c r="F11" s="15"/>
      <c r="G11" s="15"/>
      <c r="H11" s="3"/>
      <c r="I11" s="3"/>
      <c r="K11" s="15"/>
      <c r="L11" s="17"/>
      <c r="M11" s="19"/>
      <c r="N11" s="16"/>
      <c r="O11" s="16"/>
      <c r="P11" s="16"/>
      <c r="Q11" s="3"/>
      <c r="S11" s="3"/>
    </row>
    <row r="12" spans="1:19" ht="17.25" x14ac:dyDescent="0.25">
      <c r="A12" t="s">
        <v>49</v>
      </c>
      <c r="C12" s="20"/>
      <c r="D12" s="15"/>
      <c r="E12" s="9"/>
      <c r="F12" s="15"/>
      <c r="G12" s="15"/>
      <c r="H12" s="3"/>
      <c r="I12" s="3"/>
      <c r="K12" s="15"/>
      <c r="L12" s="17"/>
      <c r="M12" s="19"/>
      <c r="N12" s="16"/>
      <c r="O12" s="16"/>
      <c r="P12" s="16"/>
      <c r="Q12" s="3"/>
      <c r="S12" s="3"/>
    </row>
    <row r="13" spans="1:19" ht="17.25" x14ac:dyDescent="0.25">
      <c r="A13" t="s">
        <v>50</v>
      </c>
      <c r="C13" s="20"/>
      <c r="D13" s="15"/>
      <c r="E13" s="9"/>
      <c r="F13" s="15"/>
      <c r="G13" s="15"/>
      <c r="H13" s="3"/>
      <c r="I13" s="3"/>
      <c r="K13" s="15"/>
      <c r="L13" s="17"/>
      <c r="M13" s="19"/>
      <c r="N13" s="16"/>
      <c r="O13" s="16"/>
      <c r="P13" s="16"/>
      <c r="Q13" s="3"/>
      <c r="S13" s="3"/>
    </row>
    <row r="14" spans="1:19" ht="17.25" x14ac:dyDescent="0.25">
      <c r="A14" t="s">
        <v>160</v>
      </c>
      <c r="C14" s="20"/>
      <c r="D14" s="15"/>
      <c r="E14" s="9"/>
      <c r="F14" s="15"/>
      <c r="G14" s="15"/>
      <c r="H14" s="3"/>
      <c r="I14" s="3"/>
      <c r="K14" s="15"/>
      <c r="L14" s="17"/>
      <c r="M14" s="19"/>
      <c r="N14" s="16"/>
      <c r="O14" s="16"/>
      <c r="P14" s="16"/>
      <c r="Q14" s="3"/>
      <c r="S14" s="3"/>
    </row>
    <row r="15" spans="1:19" ht="17.25" x14ac:dyDescent="0.25">
      <c r="A15" t="s">
        <v>116</v>
      </c>
      <c r="C15" s="20"/>
      <c r="D15" s="15"/>
      <c r="E15" s="9"/>
      <c r="F15" s="15"/>
      <c r="G15" s="15"/>
      <c r="H15" s="3"/>
      <c r="I15" s="3"/>
      <c r="K15" s="15"/>
      <c r="L15" s="17"/>
      <c r="M15" s="19"/>
      <c r="N15" s="16"/>
      <c r="O15" s="16"/>
      <c r="P15" s="16"/>
      <c r="Q15" s="3"/>
      <c r="S15" s="3"/>
    </row>
    <row r="16" spans="1:19" ht="17.25" x14ac:dyDescent="0.25">
      <c r="A16" t="s">
        <v>51</v>
      </c>
      <c r="C16" s="20"/>
      <c r="D16" s="15"/>
      <c r="E16" s="9"/>
      <c r="F16" s="15"/>
      <c r="G16" s="15"/>
      <c r="H16" s="3"/>
      <c r="I16" s="3"/>
      <c r="K16" s="15"/>
      <c r="L16" s="17"/>
      <c r="M16" s="19"/>
      <c r="N16" s="16"/>
      <c r="O16" s="16"/>
      <c r="P16" s="16"/>
      <c r="Q16" s="3"/>
      <c r="S16" s="3"/>
    </row>
    <row r="17" spans="1:19" ht="17.25" x14ac:dyDescent="0.25">
      <c r="A17" t="s">
        <v>124</v>
      </c>
      <c r="C17" s="20"/>
      <c r="D17" s="15"/>
      <c r="E17" s="9"/>
      <c r="F17" s="15"/>
      <c r="G17" s="15"/>
      <c r="H17" s="3"/>
      <c r="I17" s="3"/>
      <c r="K17" s="15"/>
      <c r="L17" s="17"/>
      <c r="M17" s="19"/>
      <c r="N17" s="16"/>
      <c r="O17" s="16"/>
      <c r="P17" s="16"/>
      <c r="Q17" s="3"/>
      <c r="S17" s="3"/>
    </row>
    <row r="18" spans="1:19" ht="17.25" x14ac:dyDescent="0.25">
      <c r="A18" t="s">
        <v>103</v>
      </c>
      <c r="C18" s="20"/>
      <c r="D18" s="15"/>
      <c r="E18" s="9"/>
      <c r="F18" s="15"/>
      <c r="G18" s="15"/>
      <c r="H18" s="3"/>
      <c r="I18" s="3"/>
      <c r="K18" s="15"/>
      <c r="L18" s="17"/>
      <c r="M18" s="19"/>
      <c r="N18" s="16"/>
      <c r="O18" s="16"/>
      <c r="P18" s="16"/>
      <c r="Q18" s="3"/>
      <c r="S18"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Savings Estimator</vt:lpstr>
      <vt:lpstr>Instructions</vt:lpstr>
      <vt:lpstr>Payer Mix Worksheet</vt:lpstr>
      <vt:lpstr>Pentacel Vaxelis Conversion</vt:lpstr>
      <vt:lpstr>Pediarix Vaxelis Conversion</vt:lpstr>
      <vt:lpstr>Pricing Tables</vt:lpstr>
      <vt:lpstr>Footnotes</vt:lpstr>
    </vt:vector>
  </TitlesOfParts>
  <Company>Nationwide Children's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Lynch, Jennifer</dc:creator>
  <cp:lastModifiedBy>Combs, Claire</cp:lastModifiedBy>
  <cp:lastPrinted>2019-04-04T18:45:58Z</cp:lastPrinted>
  <dcterms:created xsi:type="dcterms:W3CDTF">2013-11-15T13:27:47Z</dcterms:created>
  <dcterms:modified xsi:type="dcterms:W3CDTF">2025-04-28T16:00:05Z</dcterms:modified>
</cp:coreProperties>
</file>